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8" windowWidth="16608" windowHeight="9156" firstSheet="1" activeTab="1"/>
  </bookViews>
  <sheets>
    <sheet name="排名" sheetId="1" r:id="rId1"/>
    <sheet name="教育 (体检)  " sheetId="10" r:id="rId2"/>
  </sheets>
  <definedNames>
    <definedName name="_xlnm._FilterDatabase" localSheetId="1" hidden="1">'教育 (体检)  '!$A$3:$D$174</definedName>
    <definedName name="_xlnm._FilterDatabase" localSheetId="0" hidden="1">排名!$A$1:$G$964</definedName>
    <definedName name="_xlnm.Print_Area" localSheetId="1">'教育 (体检)  '!$A$1:$D$296</definedName>
    <definedName name="_xlnm.Print_Titles" localSheetId="1">'教育 (体检)  '!$3:$3</definedName>
    <definedName name="_xlnm.Print_Titles" localSheetId="0">排名!$1:$1</definedName>
  </definedNames>
  <calcPr calcId="144525"/>
</workbook>
</file>

<file path=xl/calcChain.xml><?xml version="1.0" encoding="utf-8"?>
<calcChain xmlns="http://schemas.openxmlformats.org/spreadsheetml/2006/main">
  <c r="A93" i="10" l="1"/>
  <c r="A94" i="10"/>
  <c r="A92" i="10"/>
  <c r="A91" i="10"/>
  <c r="A89" i="10"/>
  <c r="A90" i="10"/>
  <c r="A88" i="10"/>
  <c r="A86" i="10"/>
  <c r="A87" i="10"/>
  <c r="A79" i="10"/>
  <c r="A85" i="10"/>
  <c r="A83" i="10"/>
  <c r="A82" i="10"/>
  <c r="A77" i="10"/>
  <c r="A80" i="10"/>
  <c r="A84" i="10"/>
  <c r="A78" i="10"/>
  <c r="A58" i="10"/>
  <c r="A67" i="10"/>
  <c r="A71" i="10"/>
  <c r="A76" i="10"/>
  <c r="A73" i="10"/>
  <c r="A66" i="10"/>
  <c r="A68" i="10"/>
  <c r="A63" i="10"/>
  <c r="A65" i="10"/>
  <c r="A62" i="10"/>
  <c r="A74" i="10"/>
  <c r="A70" i="10"/>
  <c r="A64" i="10"/>
  <c r="A60" i="10"/>
  <c r="A59" i="10"/>
  <c r="A75" i="10"/>
  <c r="A57" i="10"/>
  <c r="A72" i="10"/>
  <c r="A61" i="10"/>
  <c r="A49" i="10"/>
  <c r="A45" i="10"/>
  <c r="A41" i="10"/>
  <c r="A37" i="10"/>
  <c r="A52" i="10"/>
  <c r="A54" i="10"/>
  <c r="A46" i="10"/>
  <c r="A53" i="10"/>
  <c r="A44" i="10"/>
  <c r="A42" i="10"/>
  <c r="A51" i="10"/>
  <c r="A50" i="10"/>
  <c r="A38" i="10"/>
  <c r="A56" i="10"/>
  <c r="A47" i="10"/>
  <c r="A48" i="10"/>
  <c r="A55" i="10"/>
  <c r="A36" i="10"/>
  <c r="A35" i="10"/>
  <c r="A33" i="10"/>
  <c r="A34" i="10"/>
  <c r="A31" i="10"/>
  <c r="A28" i="10"/>
  <c r="A30" i="10"/>
  <c r="A29" i="10"/>
  <c r="A27" i="10"/>
  <c r="A26" i="10"/>
  <c r="A23" i="10"/>
  <c r="A25" i="10"/>
  <c r="A20" i="10"/>
  <c r="A21" i="10"/>
  <c r="A22" i="10"/>
  <c r="A24" i="10"/>
  <c r="A12" i="10"/>
  <c r="A19" i="10"/>
  <c r="A17" i="10"/>
  <c r="A16" i="10"/>
  <c r="A11" i="10"/>
  <c r="A13" i="10"/>
  <c r="A18" i="10"/>
  <c r="A14" i="10"/>
  <c r="A15" i="10"/>
  <c r="A10" i="10"/>
  <c r="A4" i="10"/>
  <c r="A6" i="10"/>
  <c r="A8" i="10"/>
  <c r="A5" i="10"/>
  <c r="A7" i="10"/>
  <c r="A9" i="10"/>
  <c r="A2" i="1" l="1"/>
  <c r="F2" i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F20" i="1"/>
  <c r="A21" i="1"/>
  <c r="F21" i="1"/>
  <c r="A22" i="1"/>
  <c r="F22" i="1"/>
  <c r="A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A163" i="1"/>
  <c r="F163" i="1"/>
  <c r="A164" i="1"/>
  <c r="F164" i="1"/>
  <c r="A165" i="1"/>
  <c r="F165" i="1"/>
  <c r="A166" i="1"/>
  <c r="F166" i="1"/>
  <c r="A167" i="1"/>
  <c r="F167" i="1"/>
  <c r="A168" i="1"/>
  <c r="F168" i="1"/>
  <c r="A169" i="1"/>
  <c r="F169" i="1"/>
  <c r="A170" i="1"/>
  <c r="F170" i="1"/>
  <c r="A171" i="1"/>
  <c r="F171" i="1"/>
  <c r="A172" i="1"/>
  <c r="F172" i="1"/>
  <c r="A173" i="1"/>
  <c r="F173" i="1"/>
  <c r="A174" i="1"/>
  <c r="F174" i="1"/>
  <c r="A175" i="1"/>
  <c r="F175" i="1"/>
  <c r="A176" i="1"/>
  <c r="F176" i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A186" i="1"/>
  <c r="F186" i="1"/>
  <c r="A187" i="1"/>
  <c r="F187" i="1"/>
  <c r="A188" i="1"/>
  <c r="F188" i="1"/>
  <c r="A189" i="1"/>
  <c r="F189" i="1"/>
  <c r="A190" i="1"/>
  <c r="F190" i="1"/>
  <c r="A191" i="1"/>
  <c r="F191" i="1"/>
  <c r="A192" i="1"/>
  <c r="F192" i="1"/>
  <c r="A193" i="1"/>
  <c r="F193" i="1"/>
  <c r="A194" i="1"/>
  <c r="F194" i="1"/>
  <c r="A195" i="1"/>
  <c r="F195" i="1"/>
  <c r="A196" i="1"/>
  <c r="F196" i="1"/>
  <c r="A197" i="1"/>
  <c r="F197" i="1"/>
  <c r="A198" i="1"/>
  <c r="F198" i="1"/>
  <c r="A199" i="1"/>
  <c r="F199" i="1"/>
  <c r="A200" i="1"/>
  <c r="F200" i="1"/>
  <c r="A201" i="1"/>
  <c r="F201" i="1"/>
  <c r="A202" i="1"/>
  <c r="F202" i="1"/>
  <c r="A203" i="1"/>
  <c r="F203" i="1"/>
  <c r="A204" i="1"/>
  <c r="F204" i="1"/>
  <c r="A205" i="1"/>
  <c r="F205" i="1"/>
  <c r="A206" i="1"/>
  <c r="F206" i="1"/>
  <c r="A207" i="1"/>
  <c r="F207" i="1"/>
  <c r="A208" i="1"/>
  <c r="F208" i="1"/>
  <c r="A209" i="1"/>
  <c r="F209" i="1"/>
  <c r="A210" i="1"/>
  <c r="F210" i="1"/>
  <c r="A211" i="1"/>
  <c r="F211" i="1"/>
  <c r="A212" i="1"/>
  <c r="F212" i="1"/>
  <c r="A213" i="1"/>
  <c r="F213" i="1"/>
  <c r="A214" i="1"/>
  <c r="F214" i="1"/>
  <c r="A215" i="1"/>
  <c r="F215" i="1"/>
  <c r="A216" i="1"/>
  <c r="F216" i="1"/>
  <c r="A217" i="1"/>
  <c r="F217" i="1"/>
  <c r="A218" i="1"/>
  <c r="F218" i="1"/>
  <c r="A219" i="1"/>
  <c r="F219" i="1"/>
  <c r="A220" i="1"/>
  <c r="F220" i="1"/>
  <c r="A221" i="1"/>
  <c r="F221" i="1"/>
  <c r="A222" i="1"/>
  <c r="F222" i="1"/>
  <c r="A223" i="1"/>
  <c r="F223" i="1"/>
  <c r="A224" i="1"/>
  <c r="F224" i="1"/>
  <c r="A225" i="1"/>
  <c r="F225" i="1"/>
  <c r="A226" i="1"/>
  <c r="F226" i="1"/>
  <c r="A227" i="1"/>
  <c r="F227" i="1"/>
  <c r="A228" i="1"/>
  <c r="F228" i="1"/>
  <c r="A229" i="1"/>
  <c r="F229" i="1"/>
  <c r="A230" i="1"/>
  <c r="F230" i="1"/>
  <c r="A231" i="1"/>
  <c r="F231" i="1"/>
  <c r="A232" i="1"/>
  <c r="F232" i="1"/>
  <c r="A233" i="1"/>
  <c r="F233" i="1"/>
  <c r="A234" i="1"/>
  <c r="F234" i="1"/>
  <c r="A235" i="1"/>
  <c r="F235" i="1"/>
  <c r="A236" i="1"/>
  <c r="F236" i="1"/>
  <c r="A237" i="1"/>
  <c r="F237" i="1"/>
  <c r="A238" i="1"/>
  <c r="F238" i="1"/>
  <c r="A239" i="1"/>
  <c r="F239" i="1"/>
  <c r="A240" i="1"/>
  <c r="F240" i="1"/>
  <c r="A241" i="1"/>
  <c r="F241" i="1"/>
  <c r="A242" i="1"/>
  <c r="F242" i="1"/>
  <c r="A243" i="1"/>
  <c r="F243" i="1"/>
  <c r="A244" i="1"/>
  <c r="F244" i="1"/>
  <c r="A245" i="1"/>
  <c r="F245" i="1"/>
  <c r="A246" i="1"/>
  <c r="F246" i="1"/>
  <c r="A247" i="1"/>
  <c r="F247" i="1"/>
  <c r="A248" i="1"/>
  <c r="F248" i="1"/>
  <c r="A249" i="1"/>
  <c r="F249" i="1"/>
  <c r="A250" i="1"/>
  <c r="F250" i="1"/>
  <c r="A251" i="1"/>
  <c r="F251" i="1"/>
  <c r="A252" i="1"/>
  <c r="F252" i="1"/>
  <c r="A253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A266" i="1"/>
  <c r="F266" i="1"/>
  <c r="A267" i="1"/>
  <c r="F267" i="1"/>
  <c r="A268" i="1"/>
  <c r="F268" i="1"/>
  <c r="A269" i="1"/>
  <c r="F269" i="1"/>
  <c r="A270" i="1"/>
  <c r="F270" i="1"/>
  <c r="A271" i="1"/>
  <c r="F271" i="1"/>
  <c r="A272" i="1"/>
  <c r="F272" i="1"/>
  <c r="A273" i="1"/>
  <c r="F273" i="1"/>
  <c r="A274" i="1"/>
  <c r="F274" i="1"/>
  <c r="A275" i="1"/>
  <c r="F275" i="1"/>
  <c r="A276" i="1"/>
  <c r="F276" i="1"/>
  <c r="A277" i="1"/>
  <c r="F277" i="1"/>
  <c r="A278" i="1"/>
  <c r="F278" i="1"/>
  <c r="A279" i="1"/>
  <c r="F279" i="1"/>
  <c r="A280" i="1"/>
  <c r="F280" i="1"/>
  <c r="A281" i="1"/>
  <c r="F281" i="1"/>
  <c r="A282" i="1"/>
  <c r="F282" i="1"/>
  <c r="A283" i="1"/>
  <c r="F283" i="1"/>
  <c r="A284" i="1"/>
  <c r="F284" i="1"/>
  <c r="A285" i="1"/>
  <c r="F285" i="1"/>
  <c r="A286" i="1"/>
  <c r="F286" i="1"/>
  <c r="A287" i="1"/>
  <c r="F287" i="1"/>
  <c r="A288" i="1"/>
  <c r="F288" i="1"/>
  <c r="A289" i="1"/>
  <c r="F289" i="1"/>
  <c r="A290" i="1"/>
  <c r="F290" i="1"/>
  <c r="A291" i="1"/>
  <c r="F291" i="1"/>
  <c r="A292" i="1"/>
  <c r="F292" i="1"/>
  <c r="A293" i="1"/>
  <c r="F293" i="1"/>
  <c r="A294" i="1"/>
  <c r="F294" i="1"/>
  <c r="A295" i="1"/>
  <c r="F295" i="1"/>
  <c r="A296" i="1"/>
  <c r="F296" i="1"/>
  <c r="A297" i="1"/>
  <c r="F297" i="1"/>
  <c r="A298" i="1"/>
  <c r="F298" i="1"/>
  <c r="A299" i="1"/>
  <c r="F299" i="1"/>
  <c r="A300" i="1"/>
  <c r="F300" i="1"/>
  <c r="A301" i="1"/>
  <c r="F301" i="1"/>
  <c r="A302" i="1"/>
  <c r="F302" i="1"/>
  <c r="A303" i="1"/>
  <c r="F303" i="1"/>
  <c r="A304" i="1"/>
  <c r="F304" i="1"/>
  <c r="A305" i="1"/>
  <c r="F305" i="1"/>
  <c r="A306" i="1"/>
  <c r="F306" i="1"/>
  <c r="A307" i="1"/>
  <c r="F307" i="1"/>
  <c r="A308" i="1"/>
  <c r="F308" i="1"/>
  <c r="A309" i="1"/>
  <c r="F309" i="1"/>
  <c r="A310" i="1"/>
  <c r="F310" i="1"/>
  <c r="A311" i="1"/>
  <c r="F311" i="1"/>
  <c r="A312" i="1"/>
  <c r="F312" i="1"/>
  <c r="A313" i="1"/>
  <c r="F313" i="1"/>
  <c r="A314" i="1"/>
  <c r="A315" i="1"/>
  <c r="A316" i="1"/>
  <c r="A317" i="1"/>
  <c r="A318" i="1"/>
  <c r="A319" i="1"/>
  <c r="A320" i="1"/>
  <c r="A321" i="1"/>
  <c r="A322" i="1"/>
  <c r="A323" i="1"/>
  <c r="A324" i="1"/>
  <c r="F324" i="1"/>
  <c r="A326" i="1"/>
  <c r="F326" i="1"/>
  <c r="A327" i="1"/>
  <c r="F327" i="1"/>
  <c r="A328" i="1"/>
  <c r="F328" i="1"/>
  <c r="A329" i="1"/>
  <c r="F329" i="1"/>
  <c r="A330" i="1"/>
  <c r="F330" i="1"/>
  <c r="A331" i="1"/>
  <c r="F331" i="1"/>
  <c r="A332" i="1"/>
  <c r="F332" i="1"/>
  <c r="A334" i="1"/>
  <c r="F334" i="1"/>
  <c r="A335" i="1"/>
  <c r="F335" i="1"/>
  <c r="A336" i="1"/>
  <c r="F336" i="1"/>
  <c r="A337" i="1"/>
  <c r="F337" i="1"/>
  <c r="A338" i="1"/>
  <c r="F338" i="1"/>
  <c r="A339" i="1"/>
  <c r="F339" i="1"/>
  <c r="A340" i="1"/>
  <c r="F340" i="1"/>
  <c r="A341" i="1"/>
  <c r="F341" i="1"/>
  <c r="A342" i="1"/>
  <c r="F342" i="1"/>
  <c r="A343" i="1"/>
  <c r="F343" i="1"/>
  <c r="A344" i="1"/>
  <c r="F344" i="1"/>
  <c r="A345" i="1"/>
  <c r="F345" i="1"/>
  <c r="A346" i="1"/>
  <c r="F346" i="1"/>
  <c r="A347" i="1"/>
  <c r="F347" i="1"/>
  <c r="A348" i="1"/>
  <c r="F348" i="1"/>
  <c r="A349" i="1"/>
  <c r="F349" i="1"/>
  <c r="A350" i="1"/>
  <c r="F350" i="1"/>
  <c r="A351" i="1"/>
  <c r="F351" i="1"/>
  <c r="A352" i="1"/>
  <c r="F352" i="1"/>
  <c r="A353" i="1"/>
  <c r="F353" i="1"/>
  <c r="A354" i="1"/>
  <c r="F354" i="1"/>
  <c r="A355" i="1"/>
  <c r="F355" i="1"/>
  <c r="A356" i="1"/>
  <c r="F356" i="1"/>
  <c r="A357" i="1"/>
  <c r="F357" i="1"/>
  <c r="A358" i="1"/>
  <c r="F358" i="1"/>
  <c r="A359" i="1"/>
  <c r="F359" i="1"/>
  <c r="A360" i="1"/>
  <c r="F360" i="1"/>
  <c r="A361" i="1"/>
  <c r="F361" i="1"/>
  <c r="A362" i="1"/>
  <c r="F362" i="1"/>
  <c r="A325" i="1"/>
  <c r="F325" i="1"/>
  <c r="A363" i="1"/>
  <c r="F363" i="1"/>
  <c r="A364" i="1"/>
  <c r="F364" i="1"/>
  <c r="A365" i="1"/>
  <c r="F365" i="1"/>
  <c r="A366" i="1"/>
  <c r="F366" i="1"/>
  <c r="A367" i="1"/>
  <c r="F367" i="1"/>
  <c r="A368" i="1"/>
  <c r="F368" i="1"/>
  <c r="A369" i="1"/>
  <c r="F369" i="1"/>
  <c r="A370" i="1"/>
  <c r="F370" i="1"/>
  <c r="A371" i="1"/>
  <c r="F371" i="1"/>
  <c r="A372" i="1"/>
  <c r="F372" i="1"/>
  <c r="A373" i="1"/>
  <c r="F373" i="1"/>
  <c r="A374" i="1"/>
  <c r="F374" i="1"/>
  <c r="A375" i="1"/>
  <c r="F375" i="1"/>
  <c r="A377" i="1"/>
  <c r="F377" i="1"/>
  <c r="A378" i="1"/>
  <c r="F378" i="1"/>
  <c r="A379" i="1"/>
  <c r="F379" i="1"/>
  <c r="A380" i="1"/>
  <c r="F380" i="1"/>
  <c r="A381" i="1"/>
  <c r="F381" i="1"/>
  <c r="A382" i="1"/>
  <c r="F382" i="1"/>
  <c r="A383" i="1"/>
  <c r="F383" i="1"/>
  <c r="A384" i="1"/>
  <c r="F384" i="1"/>
  <c r="A385" i="1"/>
  <c r="F385" i="1"/>
  <c r="A386" i="1"/>
  <c r="F386" i="1"/>
  <c r="A387" i="1"/>
  <c r="F387" i="1"/>
  <c r="A388" i="1"/>
  <c r="F388" i="1"/>
  <c r="A389" i="1"/>
  <c r="F389" i="1"/>
  <c r="A390" i="1"/>
  <c r="F390" i="1"/>
  <c r="A391" i="1"/>
  <c r="F391" i="1"/>
  <c r="A392" i="1"/>
  <c r="F392" i="1"/>
  <c r="A393" i="1"/>
  <c r="F393" i="1"/>
  <c r="A394" i="1"/>
  <c r="F394" i="1"/>
  <c r="A395" i="1"/>
  <c r="F395" i="1"/>
  <c r="A396" i="1"/>
  <c r="F396" i="1"/>
  <c r="A397" i="1"/>
  <c r="F397" i="1"/>
  <c r="A398" i="1"/>
  <c r="F398" i="1"/>
  <c r="A399" i="1"/>
  <c r="F399" i="1"/>
  <c r="A400" i="1"/>
  <c r="F400" i="1"/>
  <c r="A401" i="1"/>
  <c r="F401" i="1"/>
  <c r="A402" i="1"/>
  <c r="F402" i="1"/>
  <c r="A403" i="1"/>
  <c r="F403" i="1"/>
  <c r="A404" i="1"/>
  <c r="F404" i="1"/>
  <c r="A405" i="1"/>
  <c r="F405" i="1"/>
  <c r="A406" i="1"/>
  <c r="F406" i="1"/>
  <c r="A407" i="1"/>
  <c r="F407" i="1"/>
  <c r="A408" i="1"/>
  <c r="F408" i="1"/>
  <c r="A409" i="1"/>
  <c r="F409" i="1"/>
  <c r="A410" i="1"/>
  <c r="F410" i="1"/>
  <c r="A411" i="1"/>
  <c r="F411" i="1"/>
  <c r="A412" i="1"/>
  <c r="F412" i="1"/>
  <c r="A413" i="1"/>
  <c r="F413" i="1"/>
  <c r="A414" i="1"/>
  <c r="F414" i="1"/>
  <c r="A415" i="1"/>
  <c r="F415" i="1"/>
  <c r="A416" i="1"/>
  <c r="F416" i="1"/>
  <c r="A417" i="1"/>
  <c r="F417" i="1"/>
  <c r="A418" i="1"/>
  <c r="F418" i="1"/>
  <c r="A419" i="1"/>
  <c r="F419" i="1"/>
  <c r="A420" i="1"/>
  <c r="F420" i="1"/>
  <c r="A421" i="1"/>
  <c r="F421" i="1"/>
  <c r="A422" i="1"/>
  <c r="F422" i="1"/>
  <c r="A333" i="1"/>
  <c r="F333" i="1"/>
  <c r="A423" i="1"/>
  <c r="F423" i="1"/>
  <c r="A424" i="1"/>
  <c r="F424" i="1"/>
  <c r="A425" i="1"/>
  <c r="F425" i="1"/>
  <c r="A426" i="1"/>
  <c r="F426" i="1"/>
  <c r="A427" i="1"/>
  <c r="F427" i="1"/>
  <c r="A428" i="1"/>
  <c r="F428" i="1"/>
  <c r="A429" i="1"/>
  <c r="F429" i="1"/>
  <c r="A430" i="1"/>
  <c r="F430" i="1"/>
  <c r="A431" i="1"/>
  <c r="F431" i="1"/>
  <c r="A432" i="1"/>
  <c r="F432" i="1"/>
  <c r="A433" i="1"/>
  <c r="F433" i="1"/>
  <c r="A434" i="1"/>
  <c r="F434" i="1"/>
  <c r="A435" i="1"/>
  <c r="F435" i="1"/>
  <c r="A436" i="1"/>
  <c r="F436" i="1"/>
  <c r="A437" i="1"/>
  <c r="F437" i="1"/>
  <c r="A438" i="1"/>
  <c r="F438" i="1"/>
  <c r="A439" i="1"/>
  <c r="F439" i="1"/>
  <c r="A440" i="1"/>
  <c r="F440" i="1"/>
  <c r="A441" i="1"/>
  <c r="F441" i="1"/>
  <c r="A442" i="1"/>
  <c r="F442" i="1"/>
  <c r="A443" i="1"/>
  <c r="F443" i="1"/>
  <c r="A444" i="1"/>
  <c r="F444" i="1"/>
  <c r="A445" i="1"/>
  <c r="F445" i="1"/>
  <c r="A446" i="1"/>
  <c r="F446" i="1"/>
  <c r="A447" i="1"/>
  <c r="F447" i="1"/>
  <c r="A448" i="1"/>
  <c r="F448" i="1"/>
  <c r="A449" i="1"/>
  <c r="F449" i="1"/>
  <c r="A450" i="1"/>
  <c r="F450" i="1"/>
  <c r="A451" i="1"/>
  <c r="F451" i="1"/>
  <c r="A452" i="1"/>
  <c r="F452" i="1"/>
  <c r="A453" i="1"/>
  <c r="F453" i="1"/>
  <c r="A454" i="1"/>
  <c r="F454" i="1"/>
  <c r="A455" i="1"/>
  <c r="F455" i="1"/>
  <c r="A456" i="1"/>
  <c r="F456" i="1"/>
  <c r="A457" i="1"/>
  <c r="F457" i="1"/>
  <c r="A458" i="1"/>
  <c r="F458" i="1"/>
  <c r="A459" i="1"/>
  <c r="F459" i="1"/>
  <c r="A460" i="1"/>
  <c r="F460" i="1"/>
  <c r="A461" i="1"/>
  <c r="F461" i="1"/>
  <c r="A462" i="1"/>
  <c r="F462" i="1"/>
  <c r="A463" i="1"/>
  <c r="F463" i="1"/>
  <c r="A464" i="1"/>
  <c r="F464" i="1"/>
  <c r="A465" i="1"/>
  <c r="F465" i="1"/>
  <c r="A466" i="1"/>
  <c r="F466" i="1"/>
  <c r="A467" i="1"/>
  <c r="F467" i="1"/>
  <c r="A468" i="1"/>
  <c r="F468" i="1"/>
  <c r="A469" i="1"/>
  <c r="F469" i="1"/>
  <c r="A470" i="1"/>
  <c r="F470" i="1"/>
  <c r="A471" i="1"/>
  <c r="F471" i="1"/>
  <c r="A472" i="1"/>
  <c r="F472" i="1"/>
  <c r="A473" i="1"/>
  <c r="F473" i="1"/>
  <c r="A474" i="1"/>
  <c r="F474" i="1"/>
  <c r="A475" i="1"/>
  <c r="F475" i="1"/>
  <c r="A476" i="1"/>
  <c r="F476" i="1"/>
  <c r="A477" i="1"/>
  <c r="F477" i="1"/>
  <c r="A478" i="1"/>
  <c r="F478" i="1"/>
  <c r="A479" i="1"/>
  <c r="F479" i="1"/>
  <c r="A480" i="1"/>
  <c r="F480" i="1"/>
  <c r="A481" i="1"/>
  <c r="F481" i="1"/>
  <c r="A482" i="1"/>
  <c r="F482" i="1"/>
  <c r="A483" i="1"/>
  <c r="F483" i="1"/>
  <c r="A484" i="1"/>
  <c r="F484" i="1"/>
  <c r="A485" i="1"/>
  <c r="F485" i="1"/>
  <c r="A376" i="1"/>
  <c r="F376" i="1"/>
  <c r="A486" i="1"/>
  <c r="F486" i="1"/>
  <c r="A487" i="1"/>
  <c r="F487" i="1"/>
  <c r="A488" i="1"/>
  <c r="F488" i="1"/>
  <c r="A489" i="1"/>
  <c r="F489" i="1"/>
  <c r="A490" i="1"/>
  <c r="F490" i="1"/>
  <c r="A491" i="1"/>
  <c r="F491" i="1"/>
  <c r="A492" i="1"/>
  <c r="F492" i="1"/>
  <c r="A493" i="1"/>
  <c r="F493" i="1"/>
  <c r="A494" i="1"/>
  <c r="F494" i="1"/>
  <c r="A495" i="1"/>
  <c r="F495" i="1"/>
  <c r="A496" i="1"/>
  <c r="F496" i="1"/>
  <c r="A497" i="1"/>
  <c r="F497" i="1"/>
  <c r="A498" i="1"/>
  <c r="F498" i="1"/>
  <c r="A499" i="1"/>
  <c r="F499" i="1"/>
  <c r="A500" i="1"/>
  <c r="F500" i="1"/>
  <c r="A501" i="1"/>
  <c r="F501" i="1"/>
  <c r="A502" i="1"/>
  <c r="F502" i="1"/>
  <c r="A503" i="1"/>
  <c r="F503" i="1"/>
  <c r="A504" i="1"/>
  <c r="F504" i="1"/>
  <c r="A505" i="1"/>
  <c r="F505" i="1"/>
  <c r="A506" i="1"/>
  <c r="F506" i="1"/>
  <c r="A507" i="1"/>
  <c r="F507" i="1"/>
  <c r="A508" i="1"/>
  <c r="F508" i="1"/>
  <c r="A509" i="1"/>
  <c r="F509" i="1"/>
  <c r="A510" i="1"/>
  <c r="F510" i="1"/>
  <c r="A511" i="1"/>
  <c r="F511" i="1"/>
  <c r="A512" i="1"/>
  <c r="F512" i="1"/>
  <c r="A513" i="1"/>
  <c r="F513" i="1"/>
  <c r="A514" i="1"/>
  <c r="F514" i="1"/>
  <c r="A515" i="1"/>
  <c r="F515" i="1"/>
  <c r="A516" i="1"/>
  <c r="F516" i="1"/>
  <c r="A517" i="1"/>
  <c r="F517" i="1"/>
  <c r="A518" i="1"/>
  <c r="F518" i="1"/>
  <c r="A519" i="1"/>
  <c r="F519" i="1"/>
  <c r="A520" i="1"/>
  <c r="F520" i="1"/>
  <c r="A521" i="1"/>
  <c r="F521" i="1"/>
  <c r="A522" i="1"/>
  <c r="F522" i="1"/>
  <c r="A523" i="1"/>
  <c r="F523" i="1"/>
  <c r="A524" i="1"/>
  <c r="F524" i="1"/>
  <c r="A525" i="1"/>
  <c r="F525" i="1"/>
  <c r="A526" i="1"/>
  <c r="F526" i="1"/>
  <c r="A527" i="1"/>
  <c r="F527" i="1"/>
  <c r="A528" i="1"/>
  <c r="F528" i="1"/>
  <c r="A529" i="1"/>
  <c r="F529" i="1"/>
  <c r="A530" i="1"/>
  <c r="F530" i="1"/>
  <c r="A531" i="1"/>
  <c r="F531" i="1"/>
  <c r="A532" i="1"/>
  <c r="F532" i="1"/>
  <c r="A533" i="1"/>
  <c r="F533" i="1"/>
  <c r="A534" i="1"/>
  <c r="F534" i="1"/>
  <c r="A535" i="1"/>
  <c r="F535" i="1"/>
  <c r="A536" i="1"/>
  <c r="F536" i="1"/>
  <c r="A537" i="1"/>
  <c r="F537" i="1"/>
  <c r="A538" i="1"/>
  <c r="F538" i="1"/>
  <c r="A539" i="1"/>
  <c r="F539" i="1"/>
  <c r="A540" i="1"/>
  <c r="F540" i="1"/>
  <c r="A541" i="1"/>
  <c r="F541" i="1"/>
  <c r="A542" i="1"/>
  <c r="F542" i="1"/>
  <c r="A543" i="1"/>
  <c r="F543" i="1"/>
  <c r="A544" i="1"/>
  <c r="F544" i="1"/>
  <c r="A545" i="1"/>
  <c r="F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F570" i="1"/>
  <c r="A571" i="1"/>
  <c r="F571" i="1"/>
  <c r="A572" i="1"/>
  <c r="F572" i="1"/>
  <c r="A573" i="1"/>
  <c r="F573" i="1"/>
  <c r="A574" i="1"/>
  <c r="F574" i="1"/>
  <c r="A575" i="1"/>
  <c r="F575" i="1"/>
  <c r="A576" i="1"/>
  <c r="F576" i="1"/>
  <c r="A577" i="1"/>
  <c r="F577" i="1"/>
  <c r="A578" i="1"/>
  <c r="F578" i="1"/>
  <c r="A579" i="1"/>
  <c r="F579" i="1"/>
  <c r="A580" i="1"/>
  <c r="F580" i="1"/>
  <c r="A581" i="1"/>
  <c r="F581" i="1"/>
  <c r="A582" i="1"/>
  <c r="F582" i="1"/>
  <c r="A583" i="1"/>
  <c r="F583" i="1"/>
  <c r="A584" i="1"/>
  <c r="F584" i="1"/>
  <c r="A585" i="1"/>
  <c r="F585" i="1"/>
  <c r="A586" i="1"/>
  <c r="F586" i="1"/>
  <c r="A587" i="1"/>
  <c r="F587" i="1"/>
  <c r="A588" i="1"/>
  <c r="F588" i="1"/>
  <c r="A589" i="1"/>
  <c r="F589" i="1"/>
  <c r="A590" i="1"/>
  <c r="F590" i="1"/>
  <c r="A591" i="1"/>
  <c r="F591" i="1"/>
  <c r="A592" i="1"/>
  <c r="F592" i="1"/>
  <c r="A593" i="1"/>
  <c r="F593" i="1"/>
  <c r="A594" i="1"/>
  <c r="F594" i="1"/>
  <c r="A595" i="1"/>
  <c r="F595" i="1"/>
  <c r="A596" i="1"/>
  <c r="F596" i="1"/>
  <c r="A597" i="1"/>
  <c r="F597" i="1"/>
  <c r="A598" i="1"/>
  <c r="F598" i="1"/>
  <c r="A599" i="1"/>
  <c r="F599" i="1"/>
  <c r="A600" i="1"/>
  <c r="F600" i="1"/>
  <c r="A601" i="1"/>
  <c r="F601" i="1"/>
  <c r="A602" i="1"/>
  <c r="F602" i="1"/>
  <c r="A603" i="1"/>
  <c r="F603" i="1"/>
  <c r="A604" i="1"/>
  <c r="F604" i="1"/>
  <c r="A605" i="1"/>
  <c r="F605" i="1"/>
  <c r="A606" i="1"/>
  <c r="F606" i="1"/>
  <c r="A607" i="1"/>
  <c r="F607" i="1"/>
  <c r="A608" i="1"/>
  <c r="F608" i="1"/>
  <c r="A609" i="1"/>
  <c r="F609" i="1"/>
  <c r="A610" i="1"/>
  <c r="F610" i="1"/>
  <c r="A611" i="1"/>
  <c r="F611" i="1"/>
  <c r="A612" i="1"/>
  <c r="F612" i="1"/>
  <c r="A613" i="1"/>
  <c r="F613" i="1"/>
  <c r="A614" i="1"/>
  <c r="F614" i="1"/>
  <c r="A615" i="1"/>
  <c r="F615" i="1"/>
  <c r="A616" i="1"/>
  <c r="F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F630" i="1"/>
  <c r="A631" i="1"/>
  <c r="F631" i="1"/>
  <c r="A632" i="1"/>
  <c r="F632" i="1"/>
  <c r="A633" i="1"/>
  <c r="F633" i="1"/>
  <c r="A634" i="1"/>
  <c r="F634" i="1"/>
  <c r="A635" i="1"/>
  <c r="F635" i="1"/>
  <c r="A636" i="1"/>
  <c r="F636" i="1"/>
  <c r="A637" i="1"/>
  <c r="F637" i="1"/>
  <c r="A638" i="1"/>
  <c r="F638" i="1"/>
  <c r="A639" i="1"/>
  <c r="F639" i="1"/>
  <c r="A640" i="1"/>
  <c r="F640" i="1"/>
  <c r="A641" i="1"/>
  <c r="F641" i="1"/>
  <c r="A642" i="1"/>
  <c r="F642" i="1"/>
  <c r="A643" i="1"/>
  <c r="F643" i="1"/>
  <c r="A644" i="1"/>
  <c r="F644" i="1"/>
  <c r="A645" i="1"/>
  <c r="F645" i="1"/>
  <c r="A646" i="1"/>
  <c r="F646" i="1"/>
  <c r="A647" i="1"/>
  <c r="F647" i="1"/>
  <c r="A648" i="1"/>
  <c r="F648" i="1"/>
  <c r="A649" i="1"/>
  <c r="F649" i="1"/>
  <c r="A650" i="1"/>
  <c r="F650" i="1"/>
  <c r="A651" i="1"/>
  <c r="F651" i="1"/>
  <c r="A652" i="1"/>
  <c r="F652" i="1"/>
  <c r="A653" i="1"/>
  <c r="F653" i="1"/>
  <c r="A654" i="1"/>
  <c r="F654" i="1"/>
  <c r="A655" i="1"/>
  <c r="A656" i="1"/>
  <c r="A657" i="1"/>
  <c r="A658" i="1"/>
  <c r="A659" i="1"/>
  <c r="A660" i="1"/>
  <c r="F660" i="1"/>
  <c r="A661" i="1"/>
  <c r="F661" i="1"/>
  <c r="A662" i="1"/>
  <c r="F662" i="1"/>
  <c r="A663" i="1"/>
  <c r="F663" i="1"/>
  <c r="A664" i="1"/>
  <c r="F664" i="1"/>
  <c r="A665" i="1"/>
  <c r="F665" i="1"/>
  <c r="A666" i="1"/>
  <c r="F666" i="1"/>
  <c r="A667" i="1"/>
  <c r="F667" i="1"/>
  <c r="A668" i="1"/>
  <c r="F668" i="1"/>
  <c r="A669" i="1"/>
  <c r="F669" i="1"/>
  <c r="A670" i="1"/>
  <c r="F670" i="1"/>
  <c r="A671" i="1"/>
  <c r="F671" i="1"/>
  <c r="A672" i="1"/>
  <c r="F672" i="1"/>
  <c r="A673" i="1"/>
  <c r="F673" i="1"/>
  <c r="A674" i="1"/>
  <c r="F674" i="1"/>
  <c r="A675" i="1"/>
  <c r="F675" i="1"/>
  <c r="A676" i="1"/>
  <c r="F676" i="1"/>
  <c r="A677" i="1"/>
  <c r="F677" i="1"/>
  <c r="A678" i="1"/>
  <c r="F678" i="1"/>
  <c r="A679" i="1"/>
  <c r="F679" i="1"/>
  <c r="A680" i="1"/>
  <c r="F680" i="1"/>
  <c r="A681" i="1"/>
  <c r="F681" i="1"/>
  <c r="A682" i="1"/>
  <c r="F682" i="1"/>
  <c r="A683" i="1"/>
  <c r="F683" i="1"/>
  <c r="A684" i="1"/>
  <c r="F684" i="1"/>
  <c r="A685" i="1"/>
  <c r="F685" i="1"/>
  <c r="A686" i="1"/>
  <c r="F686" i="1"/>
  <c r="A687" i="1"/>
  <c r="F687" i="1"/>
  <c r="A688" i="1"/>
  <c r="F688" i="1"/>
  <c r="A689" i="1"/>
  <c r="F689" i="1"/>
  <c r="A690" i="1"/>
  <c r="F690" i="1"/>
  <c r="A691" i="1"/>
  <c r="F691" i="1"/>
  <c r="A692" i="1"/>
  <c r="F692" i="1"/>
  <c r="A693" i="1"/>
  <c r="F693" i="1"/>
  <c r="A694" i="1"/>
  <c r="A695" i="1"/>
  <c r="A696" i="1"/>
  <c r="A697" i="1"/>
  <c r="F697" i="1"/>
  <c r="A698" i="1"/>
  <c r="F698" i="1"/>
  <c r="A699" i="1"/>
  <c r="F699" i="1"/>
  <c r="A700" i="1"/>
  <c r="F700" i="1"/>
  <c r="A701" i="1"/>
  <c r="F701" i="1"/>
  <c r="A702" i="1"/>
  <c r="F702" i="1"/>
  <c r="A703" i="1"/>
  <c r="F703" i="1"/>
  <c r="A704" i="1"/>
  <c r="F704" i="1"/>
  <c r="A705" i="1"/>
  <c r="F705" i="1"/>
  <c r="A706" i="1"/>
  <c r="F706" i="1"/>
  <c r="A707" i="1"/>
  <c r="F707" i="1"/>
  <c r="A708" i="1"/>
  <c r="F708" i="1"/>
  <c r="A709" i="1"/>
  <c r="F709" i="1"/>
  <c r="A710" i="1"/>
  <c r="F710" i="1"/>
  <c r="A711" i="1"/>
  <c r="F711" i="1"/>
  <c r="A712" i="1"/>
  <c r="F712" i="1"/>
  <c r="A713" i="1"/>
  <c r="F713" i="1"/>
  <c r="A714" i="1"/>
  <c r="F714" i="1"/>
  <c r="A715" i="1"/>
  <c r="F715" i="1"/>
  <c r="A716" i="1"/>
  <c r="F716" i="1"/>
  <c r="A717" i="1"/>
  <c r="F717" i="1"/>
  <c r="A718" i="1"/>
  <c r="F718" i="1"/>
  <c r="A719" i="1"/>
  <c r="F719" i="1"/>
  <c r="A720" i="1"/>
  <c r="F720" i="1"/>
  <c r="A721" i="1"/>
  <c r="F721" i="1"/>
  <c r="A722" i="1"/>
  <c r="F722" i="1"/>
  <c r="A723" i="1"/>
  <c r="F723" i="1"/>
  <c r="A724" i="1"/>
  <c r="F724" i="1"/>
  <c r="A725" i="1"/>
  <c r="F725" i="1"/>
  <c r="A726" i="1"/>
  <c r="F726" i="1"/>
  <c r="A727" i="1"/>
  <c r="F727" i="1"/>
  <c r="A728" i="1"/>
  <c r="F728" i="1"/>
  <c r="A729" i="1"/>
  <c r="F729" i="1"/>
  <c r="A730" i="1"/>
  <c r="F730" i="1"/>
  <c r="A731" i="1"/>
  <c r="F731" i="1"/>
  <c r="A732" i="1"/>
  <c r="F732" i="1"/>
  <c r="A733" i="1"/>
  <c r="F733" i="1"/>
  <c r="A734" i="1"/>
  <c r="F734" i="1"/>
  <c r="A735" i="1"/>
  <c r="F735" i="1"/>
  <c r="A736" i="1"/>
  <c r="F736" i="1"/>
  <c r="A737" i="1"/>
  <c r="F737" i="1"/>
  <c r="A738" i="1"/>
  <c r="F738" i="1"/>
  <c r="A739" i="1"/>
  <c r="F739" i="1"/>
  <c r="A740" i="1"/>
  <c r="F740" i="1"/>
  <c r="A741" i="1"/>
  <c r="F741" i="1"/>
  <c r="A742" i="1"/>
  <c r="F742" i="1"/>
  <c r="A743" i="1"/>
  <c r="F743" i="1"/>
  <c r="A744" i="1"/>
  <c r="F744" i="1"/>
  <c r="A745" i="1"/>
  <c r="F745" i="1"/>
  <c r="A746" i="1"/>
  <c r="F746" i="1"/>
  <c r="A747" i="1"/>
  <c r="F747" i="1"/>
  <c r="A748" i="1"/>
  <c r="F748" i="1"/>
  <c r="A749" i="1"/>
  <c r="F749" i="1"/>
  <c r="A750" i="1"/>
  <c r="F750" i="1"/>
  <c r="A751" i="1"/>
  <c r="F751" i="1"/>
  <c r="A752" i="1"/>
  <c r="F752" i="1"/>
  <c r="A753" i="1"/>
  <c r="F753" i="1"/>
  <c r="A754" i="1"/>
  <c r="F754" i="1"/>
  <c r="A755" i="1"/>
  <c r="F755" i="1"/>
  <c r="A756" i="1"/>
  <c r="F756" i="1"/>
  <c r="A757" i="1"/>
  <c r="F757" i="1"/>
  <c r="A758" i="1"/>
  <c r="F758" i="1"/>
  <c r="A759" i="1"/>
  <c r="F759" i="1"/>
  <c r="A760" i="1"/>
  <c r="F760" i="1"/>
  <c r="A761" i="1"/>
  <c r="F761" i="1"/>
  <c r="A762" i="1"/>
  <c r="F762" i="1"/>
  <c r="A763" i="1"/>
  <c r="F763" i="1"/>
  <c r="A764" i="1"/>
  <c r="F764" i="1"/>
  <c r="A765" i="1"/>
  <c r="F765" i="1"/>
  <c r="A766" i="1"/>
  <c r="F766" i="1"/>
  <c r="A767" i="1"/>
  <c r="F767" i="1"/>
  <c r="A768" i="1"/>
  <c r="F768" i="1"/>
  <c r="A769" i="1"/>
  <c r="F769" i="1"/>
  <c r="A770" i="1"/>
  <c r="F770" i="1"/>
  <c r="A771" i="1"/>
  <c r="F771" i="1"/>
  <c r="A772" i="1"/>
  <c r="F772" i="1"/>
  <c r="A773" i="1"/>
  <c r="F773" i="1"/>
  <c r="A774" i="1"/>
  <c r="F774" i="1"/>
  <c r="A775" i="1"/>
  <c r="F775" i="1"/>
  <c r="A776" i="1"/>
  <c r="F776" i="1"/>
  <c r="A777" i="1"/>
  <c r="F777" i="1"/>
  <c r="A778" i="1"/>
  <c r="F778" i="1"/>
  <c r="A779" i="1"/>
  <c r="F779" i="1"/>
  <c r="A780" i="1"/>
  <c r="F780" i="1"/>
  <c r="A781" i="1"/>
  <c r="F781" i="1"/>
  <c r="A782" i="1"/>
  <c r="F782" i="1"/>
  <c r="A783" i="1"/>
  <c r="F783" i="1"/>
  <c r="A784" i="1"/>
  <c r="F784" i="1"/>
  <c r="A785" i="1"/>
  <c r="F785" i="1"/>
  <c r="A786" i="1"/>
  <c r="F786" i="1"/>
  <c r="A787" i="1"/>
  <c r="F787" i="1"/>
  <c r="A788" i="1"/>
  <c r="F788" i="1"/>
  <c r="A789" i="1"/>
  <c r="F789" i="1"/>
  <c r="A790" i="1"/>
  <c r="F790" i="1"/>
  <c r="A791" i="1"/>
  <c r="F791" i="1"/>
  <c r="A792" i="1"/>
  <c r="F792" i="1"/>
  <c r="A793" i="1"/>
  <c r="F793" i="1"/>
  <c r="A794" i="1"/>
  <c r="F794" i="1"/>
  <c r="A795" i="1"/>
  <c r="F795" i="1"/>
  <c r="A796" i="1"/>
  <c r="F796" i="1"/>
  <c r="A797" i="1"/>
  <c r="F797" i="1"/>
  <c r="A798" i="1"/>
  <c r="F798" i="1"/>
  <c r="A799" i="1"/>
  <c r="F799" i="1"/>
  <c r="A800" i="1"/>
  <c r="F800" i="1"/>
  <c r="A801" i="1"/>
  <c r="F801" i="1"/>
  <c r="A802" i="1"/>
  <c r="F802" i="1"/>
  <c r="A803" i="1"/>
  <c r="F803" i="1"/>
  <c r="A804" i="1"/>
  <c r="F804" i="1"/>
  <c r="A805" i="1"/>
  <c r="F805" i="1"/>
  <c r="A806" i="1"/>
  <c r="F806" i="1"/>
  <c r="A807" i="1"/>
  <c r="F807" i="1"/>
  <c r="A808" i="1"/>
  <c r="F808" i="1"/>
  <c r="A809" i="1"/>
  <c r="F809" i="1"/>
  <c r="A810" i="1"/>
  <c r="F810" i="1"/>
  <c r="A811" i="1"/>
  <c r="F811" i="1"/>
  <c r="A812" i="1"/>
  <c r="F812" i="1"/>
  <c r="A813" i="1"/>
  <c r="F813" i="1"/>
  <c r="A814" i="1"/>
  <c r="F814" i="1"/>
  <c r="A815" i="1"/>
  <c r="F815" i="1"/>
  <c r="A816" i="1"/>
  <c r="F816" i="1"/>
  <c r="A817" i="1"/>
  <c r="F817" i="1"/>
  <c r="A818" i="1"/>
  <c r="F818" i="1"/>
  <c r="A819" i="1"/>
  <c r="F819" i="1"/>
  <c r="A820" i="1"/>
  <c r="F820" i="1"/>
  <c r="A821" i="1"/>
  <c r="F821" i="1"/>
  <c r="A823" i="1"/>
  <c r="F823" i="1"/>
  <c r="A824" i="1"/>
  <c r="F824" i="1"/>
  <c r="A825" i="1"/>
  <c r="F825" i="1"/>
  <c r="A826" i="1"/>
  <c r="F826" i="1"/>
  <c r="A827" i="1"/>
  <c r="F827" i="1"/>
  <c r="A828" i="1"/>
  <c r="F828" i="1"/>
  <c r="A829" i="1"/>
  <c r="F829" i="1"/>
  <c r="A830" i="1"/>
  <c r="F830" i="1"/>
  <c r="A831" i="1"/>
  <c r="F831" i="1"/>
  <c r="A832" i="1"/>
  <c r="F832" i="1"/>
  <c r="A833" i="1"/>
  <c r="F833" i="1"/>
  <c r="A834" i="1"/>
  <c r="F834" i="1"/>
  <c r="A835" i="1"/>
  <c r="F835" i="1"/>
  <c r="A836" i="1"/>
  <c r="F836" i="1"/>
  <c r="A837" i="1"/>
  <c r="F837" i="1"/>
  <c r="A838" i="1"/>
  <c r="F838" i="1"/>
  <c r="A822" i="1"/>
  <c r="F822" i="1"/>
  <c r="A839" i="1"/>
  <c r="F839" i="1"/>
  <c r="A840" i="1"/>
  <c r="F840" i="1"/>
  <c r="A841" i="1"/>
  <c r="F841" i="1"/>
  <c r="A842" i="1"/>
  <c r="F842" i="1"/>
  <c r="A843" i="1"/>
  <c r="F843" i="1"/>
  <c r="A844" i="1"/>
  <c r="F844" i="1"/>
  <c r="A845" i="1"/>
  <c r="F845" i="1"/>
  <c r="A846" i="1"/>
  <c r="F846" i="1"/>
  <c r="A847" i="1"/>
  <c r="F847" i="1"/>
  <c r="A848" i="1"/>
  <c r="F848" i="1"/>
  <c r="A849" i="1"/>
  <c r="F849" i="1"/>
  <c r="A850" i="1"/>
  <c r="F850" i="1"/>
  <c r="A851" i="1"/>
  <c r="F851" i="1"/>
  <c r="A852" i="1"/>
  <c r="F852" i="1"/>
  <c r="A853" i="1"/>
  <c r="F853" i="1"/>
  <c r="A854" i="1"/>
  <c r="F854" i="1"/>
  <c r="A855" i="1"/>
  <c r="F855" i="1"/>
  <c r="A856" i="1"/>
  <c r="F856" i="1"/>
  <c r="A857" i="1"/>
  <c r="F857" i="1"/>
  <c r="A858" i="1"/>
  <c r="F858" i="1"/>
  <c r="A859" i="1"/>
  <c r="F859" i="1"/>
  <c r="A860" i="1"/>
  <c r="F860" i="1"/>
  <c r="A861" i="1"/>
  <c r="F861" i="1"/>
  <c r="A862" i="1"/>
  <c r="F862" i="1"/>
  <c r="A863" i="1"/>
  <c r="F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F875" i="1"/>
  <c r="A876" i="1"/>
  <c r="F876" i="1"/>
  <c r="A877" i="1"/>
  <c r="F877" i="1"/>
  <c r="A878" i="1"/>
  <c r="F878" i="1"/>
  <c r="A879" i="1"/>
  <c r="F879" i="1"/>
  <c r="A880" i="1"/>
  <c r="F880" i="1"/>
  <c r="A881" i="1"/>
  <c r="F881" i="1"/>
  <c r="A882" i="1"/>
  <c r="F882" i="1"/>
  <c r="A883" i="1"/>
  <c r="F883" i="1"/>
  <c r="A884" i="1"/>
  <c r="F884" i="1"/>
  <c r="A885" i="1"/>
  <c r="F885" i="1"/>
  <c r="A886" i="1"/>
  <c r="F886" i="1"/>
  <c r="A887" i="1"/>
  <c r="F887" i="1"/>
  <c r="A888" i="1"/>
  <c r="F888" i="1"/>
  <c r="A889" i="1"/>
  <c r="F889" i="1"/>
  <c r="A890" i="1"/>
  <c r="F890" i="1"/>
  <c r="A891" i="1"/>
  <c r="F891" i="1"/>
  <c r="A892" i="1"/>
  <c r="F892" i="1"/>
  <c r="A893" i="1"/>
  <c r="F893" i="1"/>
  <c r="A894" i="1"/>
  <c r="F894" i="1"/>
  <c r="A895" i="1"/>
  <c r="F895" i="1"/>
  <c r="A896" i="1"/>
  <c r="F896" i="1"/>
  <c r="A897" i="1"/>
  <c r="F897" i="1"/>
  <c r="A898" i="1"/>
  <c r="F898" i="1"/>
  <c r="A899" i="1"/>
  <c r="F899" i="1"/>
  <c r="A900" i="1"/>
  <c r="F900" i="1"/>
  <c r="A901" i="1"/>
  <c r="F901" i="1"/>
  <c r="A902" i="1"/>
  <c r="F902" i="1"/>
  <c r="A903" i="1"/>
  <c r="F903" i="1"/>
  <c r="A904" i="1"/>
  <c r="F904" i="1"/>
  <c r="A905" i="1"/>
  <c r="F905" i="1"/>
  <c r="A906" i="1"/>
  <c r="F906" i="1"/>
  <c r="A907" i="1"/>
  <c r="F907" i="1"/>
  <c r="A908" i="1"/>
  <c r="F908" i="1"/>
  <c r="A909" i="1"/>
  <c r="F909" i="1"/>
  <c r="A910" i="1"/>
  <c r="F910" i="1"/>
  <c r="A911" i="1"/>
  <c r="F911" i="1"/>
  <c r="A912" i="1"/>
  <c r="F912" i="1"/>
  <c r="A913" i="1"/>
  <c r="F913" i="1"/>
  <c r="A914" i="1"/>
  <c r="F914" i="1"/>
  <c r="A915" i="1"/>
  <c r="F915" i="1"/>
  <c r="A916" i="1"/>
  <c r="F916" i="1"/>
  <c r="A917" i="1"/>
  <c r="F917" i="1"/>
  <c r="A918" i="1"/>
  <c r="F918" i="1"/>
  <c r="A919" i="1"/>
  <c r="F919" i="1"/>
  <c r="A920" i="1"/>
  <c r="F920" i="1"/>
  <c r="A921" i="1"/>
  <c r="F921" i="1"/>
  <c r="A922" i="1"/>
  <c r="F922" i="1"/>
  <c r="A923" i="1"/>
  <c r="F923" i="1"/>
  <c r="A924" i="1"/>
  <c r="F924" i="1"/>
  <c r="A925" i="1"/>
  <c r="A926" i="1"/>
  <c r="A927" i="1"/>
  <c r="F927" i="1"/>
  <c r="A928" i="1"/>
  <c r="F928" i="1"/>
  <c r="A929" i="1"/>
  <c r="F929" i="1"/>
  <c r="A930" i="1"/>
  <c r="F930" i="1"/>
  <c r="A931" i="1"/>
  <c r="F931" i="1"/>
  <c r="A932" i="1"/>
  <c r="F932" i="1"/>
  <c r="A933" i="1"/>
  <c r="F933" i="1"/>
  <c r="A934" i="1"/>
  <c r="F934" i="1"/>
  <c r="A935" i="1"/>
  <c r="F935" i="1"/>
  <c r="A936" i="1"/>
  <c r="F936" i="1"/>
  <c r="A937" i="1"/>
  <c r="F937" i="1"/>
  <c r="A938" i="1"/>
  <c r="F938" i="1"/>
  <c r="A939" i="1"/>
  <c r="F939" i="1"/>
  <c r="A940" i="1"/>
  <c r="F940" i="1"/>
  <c r="A941" i="1"/>
  <c r="F941" i="1"/>
  <c r="A942" i="1"/>
  <c r="F942" i="1"/>
  <c r="A943" i="1"/>
  <c r="F943" i="1"/>
  <c r="A944" i="1"/>
  <c r="F944" i="1"/>
  <c r="A945" i="1"/>
  <c r="F945" i="1"/>
  <c r="A946" i="1"/>
  <c r="F946" i="1"/>
  <c r="A947" i="1"/>
  <c r="F947" i="1"/>
  <c r="A948" i="1"/>
  <c r="F948" i="1"/>
  <c r="A949" i="1"/>
  <c r="F949" i="1"/>
  <c r="A950" i="1"/>
  <c r="F950" i="1"/>
  <c r="A951" i="1"/>
  <c r="F951" i="1"/>
  <c r="A952" i="1"/>
  <c r="F952" i="1"/>
  <c r="A953" i="1"/>
  <c r="F953" i="1"/>
  <c r="A954" i="1"/>
  <c r="A955" i="1"/>
  <c r="A956" i="1"/>
  <c r="A957" i="1"/>
  <c r="A958" i="1"/>
  <c r="A959" i="1"/>
  <c r="A960" i="1"/>
  <c r="A961" i="1"/>
  <c r="A962" i="1"/>
  <c r="A963" i="1"/>
  <c r="A964" i="1"/>
</calcChain>
</file>

<file path=xl/sharedStrings.xml><?xml version="1.0" encoding="utf-8"?>
<sst xmlns="http://schemas.openxmlformats.org/spreadsheetml/2006/main" count="1539" uniqueCount="257">
  <si>
    <t>缺考</t>
    <phoneticPr fontId="1" type="noConversion"/>
  </si>
  <si>
    <t>3009_医学检验</t>
  </si>
  <si>
    <t>3008_医学影像</t>
  </si>
  <si>
    <t>违纪</t>
    <phoneticPr fontId="1" type="noConversion"/>
  </si>
  <si>
    <t>3007_护理</t>
  </si>
  <si>
    <t>3006_药学</t>
  </si>
  <si>
    <t>3005_医疗</t>
  </si>
  <si>
    <t>3004_护理</t>
  </si>
  <si>
    <t>2007_小学音乐</t>
  </si>
  <si>
    <t>2006_小学体育</t>
  </si>
  <si>
    <t>2005_小学美术</t>
  </si>
  <si>
    <t>2004_小学计算机</t>
  </si>
  <si>
    <t>2003_小学英语</t>
  </si>
  <si>
    <t>2002_小学数学</t>
  </si>
  <si>
    <t>2001_小学语文</t>
  </si>
  <si>
    <t>1009_高中地理</t>
  </si>
  <si>
    <t>1008_高中历史</t>
  </si>
  <si>
    <t>1007_高中政治</t>
  </si>
  <si>
    <t>1006_高中生物</t>
  </si>
  <si>
    <t>1005_高中化学</t>
  </si>
  <si>
    <t>1004_高中物理</t>
  </si>
  <si>
    <t>1003_高中英语</t>
  </si>
  <si>
    <t>1002_高中数学</t>
  </si>
  <si>
    <t>1001_高中语文</t>
  </si>
  <si>
    <t>备注</t>
    <phoneticPr fontId="1" type="noConversion"/>
  </si>
  <si>
    <t>名次</t>
    <phoneticPr fontId="1" type="noConversion"/>
  </si>
  <si>
    <t>报考岗位</t>
  </si>
  <si>
    <t>准考证号</t>
  </si>
  <si>
    <t>姓名</t>
  </si>
  <si>
    <t>笔试成绩</t>
  </si>
  <si>
    <t>笔试最终成绩</t>
    <phoneticPr fontId="1" type="noConversion"/>
  </si>
  <si>
    <t>张政豪</t>
  </si>
  <si>
    <t>高中地理</t>
  </si>
  <si>
    <t>高将</t>
  </si>
  <si>
    <t>高欢</t>
  </si>
  <si>
    <t>郭婉莹</t>
  </si>
  <si>
    <t>陈小飞</t>
  </si>
  <si>
    <t>吴琛璐</t>
  </si>
  <si>
    <t>赵莉萍</t>
  </si>
  <si>
    <t>高中化学</t>
  </si>
  <si>
    <t>康双丽</t>
  </si>
  <si>
    <t>张爽</t>
  </si>
  <si>
    <t>李若兵</t>
  </si>
  <si>
    <t>康丹</t>
  </si>
  <si>
    <t>田雪</t>
  </si>
  <si>
    <t>张晴</t>
  </si>
  <si>
    <t>陈良晓</t>
  </si>
  <si>
    <t>李喆</t>
  </si>
  <si>
    <t>高中历史</t>
  </si>
  <si>
    <t>曹杨琪</t>
  </si>
  <si>
    <t>翟飞</t>
  </si>
  <si>
    <t>王佳</t>
  </si>
  <si>
    <t>高中生物</t>
  </si>
  <si>
    <t>宋梅格</t>
  </si>
  <si>
    <t>林朝欣</t>
  </si>
  <si>
    <t>胡晨霞</t>
  </si>
  <si>
    <t>魏梦</t>
  </si>
  <si>
    <t>张圆</t>
  </si>
  <si>
    <t>高中数学</t>
  </si>
  <si>
    <t>翟玉冰</t>
  </si>
  <si>
    <t>袁明</t>
  </si>
  <si>
    <t>于琳</t>
  </si>
  <si>
    <t>罗雅</t>
  </si>
  <si>
    <t>陈春霞</t>
  </si>
  <si>
    <t>冯璞莹</t>
  </si>
  <si>
    <t>张帆</t>
  </si>
  <si>
    <t>王英贤</t>
  </si>
  <si>
    <t>李品</t>
  </si>
  <si>
    <t>张武</t>
  </si>
  <si>
    <t>任世龙</t>
  </si>
  <si>
    <t>李静</t>
  </si>
  <si>
    <t>孙飒</t>
  </si>
  <si>
    <t>赵倩</t>
  </si>
  <si>
    <t>宋悦</t>
  </si>
  <si>
    <t>邓硕</t>
  </si>
  <si>
    <t>李南南</t>
  </si>
  <si>
    <t>黄亚俊</t>
  </si>
  <si>
    <t>高中体育</t>
  </si>
  <si>
    <t>翟志伟</t>
  </si>
  <si>
    <t>高中物理</t>
  </si>
  <si>
    <t>赵秋枝</t>
  </si>
  <si>
    <t>白爽</t>
  </si>
  <si>
    <t>梁麟</t>
  </si>
  <si>
    <t>马风华</t>
  </si>
  <si>
    <t>王士杰</t>
  </si>
  <si>
    <t>赵梦怡</t>
  </si>
  <si>
    <t>黄彩虹</t>
  </si>
  <si>
    <t>高中信息</t>
  </si>
  <si>
    <t>秦宁</t>
  </si>
  <si>
    <t>杜佳潼</t>
  </si>
  <si>
    <t>高中音乐</t>
  </si>
  <si>
    <t>徐雨珩</t>
  </si>
  <si>
    <t>高中英语</t>
  </si>
  <si>
    <t>钮迪</t>
  </si>
  <si>
    <t>胡翠翠</t>
  </si>
  <si>
    <t>吴丹</t>
  </si>
  <si>
    <t>王许亚</t>
  </si>
  <si>
    <t>李艳</t>
  </si>
  <si>
    <t>刘亚军</t>
  </si>
  <si>
    <t>郑萌</t>
  </si>
  <si>
    <t>熊玮</t>
  </si>
  <si>
    <t>刘一晨</t>
  </si>
  <si>
    <t>梁秋杰</t>
  </si>
  <si>
    <t>刘梦雅</t>
  </si>
  <si>
    <t>刘海丽</t>
  </si>
  <si>
    <t>张增红</t>
  </si>
  <si>
    <t>贺婷</t>
  </si>
  <si>
    <t>王丛丛</t>
  </si>
  <si>
    <t>高中语文</t>
  </si>
  <si>
    <t>赵明霞</t>
  </si>
  <si>
    <t>甄雅婷</t>
  </si>
  <si>
    <t>乔亚星</t>
  </si>
  <si>
    <t>刘争洋</t>
  </si>
  <si>
    <t>叶未娜</t>
  </si>
  <si>
    <t>刘伟</t>
  </si>
  <si>
    <t>王娴</t>
  </si>
  <si>
    <t>薛金金</t>
  </si>
  <si>
    <t>梅梦</t>
  </si>
  <si>
    <t>张鑫</t>
  </si>
  <si>
    <t>董楚</t>
  </si>
  <si>
    <t>刘诗雨</t>
  </si>
  <si>
    <t>史冰</t>
  </si>
  <si>
    <t>高静</t>
  </si>
  <si>
    <t>文磊</t>
  </si>
  <si>
    <t>高中政治</t>
  </si>
  <si>
    <t>王琼琼</t>
  </si>
  <si>
    <t>陈咪咪</t>
  </si>
  <si>
    <t>曹立腾</t>
  </si>
  <si>
    <t>张俊博</t>
  </si>
  <si>
    <t>李佳</t>
  </si>
  <si>
    <t>张姣</t>
  </si>
  <si>
    <t>李双</t>
  </si>
  <si>
    <t>钟亚平</t>
  </si>
  <si>
    <t>何航</t>
  </si>
  <si>
    <t>刘洋</t>
  </si>
  <si>
    <t>吕欣遥</t>
  </si>
  <si>
    <t>3001药学</t>
  </si>
  <si>
    <t>付倩倩</t>
  </si>
  <si>
    <t>吕洋</t>
  </si>
  <si>
    <t>3002医护医技</t>
  </si>
  <si>
    <t>信长鑫</t>
  </si>
  <si>
    <t>魏若愚</t>
  </si>
  <si>
    <t>梁范</t>
  </si>
  <si>
    <t>王学斌</t>
  </si>
  <si>
    <t>李成渊</t>
  </si>
  <si>
    <t>樊宇</t>
  </si>
  <si>
    <t>李阳凡</t>
  </si>
  <si>
    <t>梁永贤</t>
  </si>
  <si>
    <t>王娜</t>
  </si>
  <si>
    <t>齐亚楠</t>
  </si>
  <si>
    <t>赵垓</t>
  </si>
  <si>
    <t>马郁倩</t>
  </si>
  <si>
    <t>张阳阳</t>
  </si>
  <si>
    <t>李培筠</t>
  </si>
  <si>
    <t>张莹</t>
  </si>
  <si>
    <t>赵明</t>
  </si>
  <si>
    <t>钱冰</t>
  </si>
  <si>
    <t>马姣姣</t>
  </si>
  <si>
    <t>刘宏悦</t>
  </si>
  <si>
    <t>张椿飒</t>
  </si>
  <si>
    <t>齐悦梦</t>
  </si>
  <si>
    <t>郭怡汝</t>
  </si>
  <si>
    <t>方各磊</t>
  </si>
  <si>
    <t>3003医护医技</t>
  </si>
  <si>
    <t>苏波</t>
  </si>
  <si>
    <t>乔丽彬</t>
  </si>
  <si>
    <t>陈俊怡</t>
  </si>
  <si>
    <t>刘瑶佳</t>
  </si>
  <si>
    <t>马会娟</t>
  </si>
  <si>
    <t>李金</t>
  </si>
  <si>
    <t>马俊亚</t>
  </si>
  <si>
    <t>张宁</t>
  </si>
  <si>
    <t>宋亚丽</t>
  </si>
  <si>
    <t>刘雪丽</t>
  </si>
  <si>
    <t>郭婷</t>
  </si>
  <si>
    <t>曾晨</t>
  </si>
  <si>
    <t>刘倩</t>
  </si>
  <si>
    <t>王冰</t>
  </si>
  <si>
    <t>彭倩倩</t>
  </si>
  <si>
    <t>曾姣</t>
  </si>
  <si>
    <t>刘婉莹</t>
  </si>
  <si>
    <t>孙俊艳</t>
  </si>
  <si>
    <t>郭铭莹</t>
  </si>
  <si>
    <t>夏冬冬</t>
  </si>
  <si>
    <t>卢莉莉</t>
  </si>
  <si>
    <t>乔菲</t>
  </si>
  <si>
    <t>曹金</t>
  </si>
  <si>
    <t>赵莹</t>
  </si>
  <si>
    <t>李展</t>
  </si>
  <si>
    <t>段亚芳</t>
  </si>
  <si>
    <t>郭天雨</t>
  </si>
  <si>
    <t>杨柳</t>
  </si>
  <si>
    <t>刘宁</t>
  </si>
  <si>
    <t>徐雪妍</t>
  </si>
  <si>
    <t>肖凡丽</t>
  </si>
  <si>
    <t>喻莹莹</t>
  </si>
  <si>
    <t>符瑞娟</t>
  </si>
  <si>
    <t>李春闪</t>
  </si>
  <si>
    <t>杨俊哲</t>
  </si>
  <si>
    <t>杨建辉</t>
  </si>
  <si>
    <t>文峰</t>
  </si>
  <si>
    <t>张柯</t>
  </si>
  <si>
    <t>曾鑫</t>
  </si>
  <si>
    <t>路少辉</t>
  </si>
  <si>
    <t>鲁晴远</t>
  </si>
  <si>
    <t>时不凡</t>
  </si>
  <si>
    <t>宋彦举</t>
  </si>
  <si>
    <t>赵林青</t>
  </si>
  <si>
    <t>吴威威</t>
  </si>
  <si>
    <t>王沛</t>
  </si>
  <si>
    <t>张笑朵</t>
  </si>
  <si>
    <t>张楠</t>
  </si>
  <si>
    <t>葛闪闪</t>
  </si>
  <si>
    <t>刘甜甜</t>
  </si>
  <si>
    <t>梁茹</t>
  </si>
  <si>
    <t>梁启航</t>
  </si>
  <si>
    <t>刘亚茹</t>
  </si>
  <si>
    <t>魏梦迪</t>
  </si>
  <si>
    <t>李南</t>
  </si>
  <si>
    <t>曹瑞奇</t>
  </si>
  <si>
    <t>付霞</t>
  </si>
  <si>
    <t>赵蒙蒙</t>
  </si>
  <si>
    <t>金卉冬</t>
  </si>
  <si>
    <t>付聪科</t>
  </si>
  <si>
    <t>韩爽晴</t>
  </si>
  <si>
    <t>易少喆</t>
  </si>
  <si>
    <t>高瑞玲</t>
  </si>
  <si>
    <t>李婷婷</t>
  </si>
  <si>
    <t>汪书燕</t>
  </si>
  <si>
    <t>王路遥</t>
  </si>
  <si>
    <t>田静</t>
  </si>
  <si>
    <t>李敏</t>
  </si>
  <si>
    <t>梁雅婷</t>
  </si>
  <si>
    <t>刘兆舵</t>
  </si>
  <si>
    <t>陈培</t>
  </si>
  <si>
    <t>王璐晨</t>
  </si>
  <si>
    <t>郭丹丹</t>
  </si>
  <si>
    <t>韩志良</t>
  </si>
  <si>
    <t>周宾</t>
  </si>
  <si>
    <t>吕京</t>
  </si>
  <si>
    <t>黄伟伟</t>
  </si>
  <si>
    <t>贾海博</t>
  </si>
  <si>
    <t>田宇</t>
  </si>
  <si>
    <t>张凌峰</t>
  </si>
  <si>
    <t>单艳丽</t>
  </si>
  <si>
    <t>董营</t>
  </si>
  <si>
    <t>魏博</t>
  </si>
  <si>
    <t>马清玥</t>
  </si>
  <si>
    <t>张静</t>
  </si>
  <si>
    <t>郑一帆</t>
  </si>
  <si>
    <t>宋瑞晓</t>
  </si>
  <si>
    <t>杜培</t>
  </si>
  <si>
    <t>朱明雨</t>
  </si>
  <si>
    <t>邹瑞雪</t>
  </si>
  <si>
    <t>2019年新野县公开招聘事业单位工作人员考察对象名单</t>
    <phoneticPr fontId="1" type="noConversion"/>
  </si>
  <si>
    <t>附件</t>
    <phoneticPr fontId="1" type="noConversion"/>
  </si>
  <si>
    <t>研究生岗位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</si>
</sst>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64"/>
  <sheetViews>
    <sheetView topLeftCell="A189" zoomScaleSheetLayoutView="100" workbookViewId="0">
      <selection activeCell="F203" sqref="F203"/>
    </sheetView>
  </sheetViews>
  <sheetFormatPr defaultColWidth="9" defaultRowHeight="15.6"/>
  <cols>
    <col min="1" max="1" width="6.3984375" style="1" customWidth="1"/>
    <col min="2" max="2" width="9.5" style="1" customWidth="1"/>
    <col min="3" max="3" width="12.69921875" style="1" customWidth="1"/>
    <col min="4" max="4" width="5.19921875" style="1" customWidth="1"/>
    <col min="5" max="5" width="6.69921875" style="3" customWidth="1"/>
    <col min="6" max="6" width="4.3984375" style="2" customWidth="1"/>
    <col min="7" max="7" width="7.19921875" style="1" customWidth="1"/>
    <col min="8" max="16384" width="9" style="1"/>
  </cols>
  <sheetData>
    <row r="1" spans="1:7" s="20" customFormat="1" ht="29.4" customHeight="1">
      <c r="A1" s="17" t="s">
        <v>28</v>
      </c>
      <c r="B1" s="17" t="s">
        <v>27</v>
      </c>
      <c r="C1" s="17" t="s">
        <v>26</v>
      </c>
      <c r="D1" s="17" t="s">
        <v>29</v>
      </c>
      <c r="E1" s="18" t="s">
        <v>30</v>
      </c>
      <c r="F1" s="19" t="s">
        <v>25</v>
      </c>
      <c r="G1" s="17" t="s">
        <v>24</v>
      </c>
    </row>
    <row r="2" spans="1:7" ht="15" customHeight="1">
      <c r="A2" s="7" t="str">
        <f>"朱聪"</f>
        <v>朱聪</v>
      </c>
      <c r="B2" s="7">
        <v>20190112</v>
      </c>
      <c r="C2" s="7" t="s">
        <v>23</v>
      </c>
      <c r="D2" s="7">
        <v>81</v>
      </c>
      <c r="E2" s="6">
        <v>81</v>
      </c>
      <c r="F2" s="5">
        <f t="shared" ref="F2:F22" si="0">_xlfn.RANK.EQ(E2,$E$2:$E$23)</f>
        <v>1</v>
      </c>
      <c r="G2" s="7"/>
    </row>
    <row r="3" spans="1:7" ht="15" customHeight="1">
      <c r="A3" s="7" t="str">
        <f>"杨琼"</f>
        <v>杨琼</v>
      </c>
      <c r="B3" s="7">
        <v>20190110</v>
      </c>
      <c r="C3" s="7" t="s">
        <v>23</v>
      </c>
      <c r="D3" s="7">
        <v>80.5</v>
      </c>
      <c r="E3" s="6">
        <v>80.5</v>
      </c>
      <c r="F3" s="5">
        <f t="shared" si="0"/>
        <v>2</v>
      </c>
      <c r="G3" s="7"/>
    </row>
    <row r="4" spans="1:7" ht="15" customHeight="1">
      <c r="A4" s="7" t="str">
        <f>"王博"</f>
        <v>王博</v>
      </c>
      <c r="B4" s="7">
        <v>20190122</v>
      </c>
      <c r="C4" s="7" t="s">
        <v>23</v>
      </c>
      <c r="D4" s="7">
        <v>80</v>
      </c>
      <c r="E4" s="6">
        <v>80</v>
      </c>
      <c r="F4" s="5">
        <f t="shared" si="0"/>
        <v>3</v>
      </c>
      <c r="G4" s="7"/>
    </row>
    <row r="5" spans="1:7" ht="15" customHeight="1">
      <c r="A5" s="7" t="str">
        <f>"李雪"</f>
        <v>李雪</v>
      </c>
      <c r="B5" s="7">
        <v>20190107</v>
      </c>
      <c r="C5" s="7" t="s">
        <v>23</v>
      </c>
      <c r="D5" s="7">
        <v>79.5</v>
      </c>
      <c r="E5" s="6">
        <v>79.5</v>
      </c>
      <c r="F5" s="5">
        <f t="shared" si="0"/>
        <v>4</v>
      </c>
      <c r="G5" s="7"/>
    </row>
    <row r="6" spans="1:7" ht="15" customHeight="1">
      <c r="A6" s="7" t="str">
        <f>"李鑫"</f>
        <v>李鑫</v>
      </c>
      <c r="B6" s="7">
        <v>20190109</v>
      </c>
      <c r="C6" s="7" t="s">
        <v>23</v>
      </c>
      <c r="D6" s="7">
        <v>79.5</v>
      </c>
      <c r="E6" s="6">
        <v>79.5</v>
      </c>
      <c r="F6" s="5">
        <f t="shared" si="0"/>
        <v>4</v>
      </c>
      <c r="G6" s="7"/>
    </row>
    <row r="7" spans="1:7" ht="15" customHeight="1">
      <c r="A7" s="7" t="str">
        <f>"史阅凡"</f>
        <v>史阅凡</v>
      </c>
      <c r="B7" s="7">
        <v>20190111</v>
      </c>
      <c r="C7" s="7" t="s">
        <v>23</v>
      </c>
      <c r="D7" s="7">
        <v>79.5</v>
      </c>
      <c r="E7" s="6">
        <v>79.5</v>
      </c>
      <c r="F7" s="5">
        <f t="shared" si="0"/>
        <v>4</v>
      </c>
      <c r="G7" s="7"/>
    </row>
    <row r="8" spans="1:7" ht="15" customHeight="1">
      <c r="A8" s="7" t="str">
        <f>"林倩"</f>
        <v>林倩</v>
      </c>
      <c r="B8" s="7">
        <v>20190105</v>
      </c>
      <c r="C8" s="7" t="s">
        <v>23</v>
      </c>
      <c r="D8" s="7">
        <v>79</v>
      </c>
      <c r="E8" s="6">
        <v>79</v>
      </c>
      <c r="F8" s="5">
        <f t="shared" si="0"/>
        <v>7</v>
      </c>
      <c r="G8" s="7"/>
    </row>
    <row r="9" spans="1:7" ht="15" customHeight="1">
      <c r="A9" s="7" t="str">
        <f>"刘莹"</f>
        <v>刘莹</v>
      </c>
      <c r="B9" s="7">
        <v>20190108</v>
      </c>
      <c r="C9" s="7" t="s">
        <v>23</v>
      </c>
      <c r="D9" s="7">
        <v>77.5</v>
      </c>
      <c r="E9" s="6">
        <v>77.5</v>
      </c>
      <c r="F9" s="5">
        <f t="shared" si="0"/>
        <v>8</v>
      </c>
      <c r="G9" s="7"/>
    </row>
    <row r="10" spans="1:7" ht="15" customHeight="1">
      <c r="A10" s="7" t="str">
        <f>"王娜"</f>
        <v>王娜</v>
      </c>
      <c r="B10" s="7">
        <v>20190117</v>
      </c>
      <c r="C10" s="7" t="s">
        <v>23</v>
      </c>
      <c r="D10" s="7">
        <v>77.5</v>
      </c>
      <c r="E10" s="6">
        <v>77.5</v>
      </c>
      <c r="F10" s="5">
        <f t="shared" si="0"/>
        <v>8</v>
      </c>
      <c r="G10" s="7"/>
    </row>
    <row r="11" spans="1:7" ht="15" customHeight="1">
      <c r="A11" s="7" t="str">
        <f>"王雪杰"</f>
        <v>王雪杰</v>
      </c>
      <c r="B11" s="7">
        <v>20190116</v>
      </c>
      <c r="C11" s="7" t="s">
        <v>23</v>
      </c>
      <c r="D11" s="7">
        <v>75.5</v>
      </c>
      <c r="E11" s="6">
        <v>75.5</v>
      </c>
      <c r="F11" s="5">
        <f t="shared" si="0"/>
        <v>10</v>
      </c>
      <c r="G11" s="7"/>
    </row>
    <row r="12" spans="1:7" ht="15" customHeight="1">
      <c r="A12" s="7" t="str">
        <f>"王璐"</f>
        <v>王璐</v>
      </c>
      <c r="B12" s="7">
        <v>20190113</v>
      </c>
      <c r="C12" s="7" t="s">
        <v>23</v>
      </c>
      <c r="D12" s="7">
        <v>74.5</v>
      </c>
      <c r="E12" s="6">
        <v>74.5</v>
      </c>
      <c r="F12" s="5">
        <f t="shared" si="0"/>
        <v>11</v>
      </c>
      <c r="G12" s="7"/>
    </row>
    <row r="13" spans="1:7" ht="15" customHeight="1">
      <c r="A13" s="7" t="str">
        <f>"闫亚娟"</f>
        <v>闫亚娟</v>
      </c>
      <c r="B13" s="7">
        <v>20190115</v>
      </c>
      <c r="C13" s="7" t="s">
        <v>23</v>
      </c>
      <c r="D13" s="7">
        <v>74</v>
      </c>
      <c r="E13" s="6">
        <v>74</v>
      </c>
      <c r="F13" s="5">
        <f t="shared" si="0"/>
        <v>12</v>
      </c>
      <c r="G13" s="7"/>
    </row>
    <row r="14" spans="1:7" ht="15" customHeight="1">
      <c r="A14" s="7" t="str">
        <f>"张会"</f>
        <v>张会</v>
      </c>
      <c r="B14" s="7">
        <v>20190104</v>
      </c>
      <c r="C14" s="7" t="s">
        <v>23</v>
      </c>
      <c r="D14" s="7">
        <v>73.5</v>
      </c>
      <c r="E14" s="6">
        <v>73.5</v>
      </c>
      <c r="F14" s="5">
        <f t="shared" si="0"/>
        <v>13</v>
      </c>
      <c r="G14" s="7"/>
    </row>
    <row r="15" spans="1:7" ht="15" customHeight="1">
      <c r="A15" s="7" t="str">
        <f>"史婕"</f>
        <v>史婕</v>
      </c>
      <c r="B15" s="7">
        <v>20190118</v>
      </c>
      <c r="C15" s="7" t="s">
        <v>23</v>
      </c>
      <c r="D15" s="7">
        <v>73.5</v>
      </c>
      <c r="E15" s="6">
        <v>73.5</v>
      </c>
      <c r="F15" s="5">
        <f t="shared" si="0"/>
        <v>13</v>
      </c>
      <c r="G15" s="7"/>
    </row>
    <row r="16" spans="1:7" ht="15" customHeight="1">
      <c r="A16" s="7" t="str">
        <f>"赵迎"</f>
        <v>赵迎</v>
      </c>
      <c r="B16" s="7">
        <v>20190106</v>
      </c>
      <c r="C16" s="7" t="s">
        <v>23</v>
      </c>
      <c r="D16" s="7">
        <v>73</v>
      </c>
      <c r="E16" s="6">
        <v>73</v>
      </c>
      <c r="F16" s="5">
        <f t="shared" si="0"/>
        <v>15</v>
      </c>
      <c r="G16" s="7"/>
    </row>
    <row r="17" spans="1:7" ht="15" customHeight="1">
      <c r="A17" s="7" t="str">
        <f>"张满"</f>
        <v>张满</v>
      </c>
      <c r="B17" s="7">
        <v>20190120</v>
      </c>
      <c r="C17" s="7" t="s">
        <v>23</v>
      </c>
      <c r="D17" s="7">
        <v>73</v>
      </c>
      <c r="E17" s="6">
        <v>73</v>
      </c>
      <c r="F17" s="5">
        <f t="shared" si="0"/>
        <v>15</v>
      </c>
      <c r="G17" s="7"/>
    </row>
    <row r="18" spans="1:7" ht="15" customHeight="1">
      <c r="A18" s="7" t="str">
        <f>"徐春苗"</f>
        <v>徐春苗</v>
      </c>
      <c r="B18" s="7">
        <v>20190114</v>
      </c>
      <c r="C18" s="7" t="s">
        <v>23</v>
      </c>
      <c r="D18" s="7">
        <v>71.5</v>
      </c>
      <c r="E18" s="6">
        <v>71.5</v>
      </c>
      <c r="F18" s="5">
        <f t="shared" si="0"/>
        <v>17</v>
      </c>
      <c r="G18" s="7"/>
    </row>
    <row r="19" spans="1:7" ht="15" customHeight="1">
      <c r="A19" s="7" t="str">
        <f>"王晓晗"</f>
        <v>王晓晗</v>
      </c>
      <c r="B19" s="7">
        <v>20190101</v>
      </c>
      <c r="C19" s="7" t="s">
        <v>23</v>
      </c>
      <c r="D19" s="7">
        <v>70.5</v>
      </c>
      <c r="E19" s="6">
        <v>70.5</v>
      </c>
      <c r="F19" s="5">
        <f t="shared" si="0"/>
        <v>18</v>
      </c>
      <c r="G19" s="7"/>
    </row>
    <row r="20" spans="1:7" ht="15" customHeight="1">
      <c r="A20" s="7" t="str">
        <f>"余帆"</f>
        <v>余帆</v>
      </c>
      <c r="B20" s="7">
        <v>20190102</v>
      </c>
      <c r="C20" s="7" t="s">
        <v>23</v>
      </c>
      <c r="D20" s="7">
        <v>70.5</v>
      </c>
      <c r="E20" s="6">
        <v>70.5</v>
      </c>
      <c r="F20" s="5">
        <f t="shared" si="0"/>
        <v>18</v>
      </c>
      <c r="G20" s="7"/>
    </row>
    <row r="21" spans="1:7" ht="15" customHeight="1">
      <c r="A21" s="7" t="str">
        <f>"王启洋"</f>
        <v>王启洋</v>
      </c>
      <c r="B21" s="7">
        <v>20190103</v>
      </c>
      <c r="C21" s="7" t="s">
        <v>23</v>
      </c>
      <c r="D21" s="7">
        <v>69</v>
      </c>
      <c r="E21" s="6">
        <v>69</v>
      </c>
      <c r="F21" s="5">
        <f t="shared" si="0"/>
        <v>20</v>
      </c>
      <c r="G21" s="7"/>
    </row>
    <row r="22" spans="1:7" ht="15" customHeight="1">
      <c r="A22" s="7" t="str">
        <f>"徐佳莹"</f>
        <v>徐佳莹</v>
      </c>
      <c r="B22" s="7">
        <v>20190119</v>
      </c>
      <c r="C22" s="7" t="s">
        <v>23</v>
      </c>
      <c r="D22" s="7">
        <v>61.5</v>
      </c>
      <c r="E22" s="6">
        <v>61.5</v>
      </c>
      <c r="F22" s="5">
        <f t="shared" si="0"/>
        <v>21</v>
      </c>
      <c r="G22" s="7"/>
    </row>
    <row r="23" spans="1:7" ht="15" customHeight="1">
      <c r="A23" s="11" t="str">
        <f>"干庆晓"</f>
        <v>干庆晓</v>
      </c>
      <c r="B23" s="11">
        <v>20190121</v>
      </c>
      <c r="C23" s="11" t="s">
        <v>23</v>
      </c>
      <c r="D23" s="11">
        <v>0</v>
      </c>
      <c r="E23" s="10">
        <v>0</v>
      </c>
      <c r="F23" s="5"/>
      <c r="G23" s="11" t="s">
        <v>0</v>
      </c>
    </row>
    <row r="24" spans="1:7" ht="15" customHeight="1">
      <c r="A24" s="7" t="str">
        <f>"杜芳芳"</f>
        <v>杜芳芳</v>
      </c>
      <c r="B24" s="7">
        <v>20190124</v>
      </c>
      <c r="C24" s="7" t="s">
        <v>22</v>
      </c>
      <c r="D24" s="7">
        <v>82.5</v>
      </c>
      <c r="E24" s="6">
        <v>82.5</v>
      </c>
      <c r="F24" s="5">
        <f t="shared" ref="F24:F43" si="1">_xlfn.RANK.EQ(E24,$E$24:$E$43)</f>
        <v>1</v>
      </c>
      <c r="G24" s="7"/>
    </row>
    <row r="25" spans="1:7" ht="15" customHeight="1">
      <c r="A25" s="7" t="str">
        <f>"乔娟"</f>
        <v>乔娟</v>
      </c>
      <c r="B25" s="7">
        <v>20190128</v>
      </c>
      <c r="C25" s="7" t="s">
        <v>22</v>
      </c>
      <c r="D25" s="7">
        <v>81</v>
      </c>
      <c r="E25" s="6">
        <v>81</v>
      </c>
      <c r="F25" s="5">
        <f t="shared" si="1"/>
        <v>2</v>
      </c>
      <c r="G25" s="7"/>
    </row>
    <row r="26" spans="1:7" ht="15" customHeight="1">
      <c r="A26" s="7" t="str">
        <f>"宋亚丽"</f>
        <v>宋亚丽</v>
      </c>
      <c r="B26" s="7">
        <v>20190130</v>
      </c>
      <c r="C26" s="7" t="s">
        <v>22</v>
      </c>
      <c r="D26" s="7">
        <v>77.5</v>
      </c>
      <c r="E26" s="6">
        <v>77.5</v>
      </c>
      <c r="F26" s="5">
        <f t="shared" si="1"/>
        <v>3</v>
      </c>
      <c r="G26" s="7"/>
    </row>
    <row r="27" spans="1:7" ht="15" customHeight="1">
      <c r="A27" s="7" t="str">
        <f>"陈佳"</f>
        <v>陈佳</v>
      </c>
      <c r="B27" s="7">
        <v>20190126</v>
      </c>
      <c r="C27" s="7" t="s">
        <v>22</v>
      </c>
      <c r="D27" s="7">
        <v>77</v>
      </c>
      <c r="E27" s="6">
        <v>77</v>
      </c>
      <c r="F27" s="5">
        <f t="shared" si="1"/>
        <v>4</v>
      </c>
      <c r="G27" s="7"/>
    </row>
    <row r="28" spans="1:7" ht="15" customHeight="1">
      <c r="A28" s="7" t="str">
        <f>"孙鑫"</f>
        <v>孙鑫</v>
      </c>
      <c r="B28" s="7">
        <v>20190127</v>
      </c>
      <c r="C28" s="7" t="s">
        <v>22</v>
      </c>
      <c r="D28" s="7">
        <v>76.5</v>
      </c>
      <c r="E28" s="6">
        <v>76.5</v>
      </c>
      <c r="F28" s="5">
        <f t="shared" si="1"/>
        <v>5</v>
      </c>
      <c r="G28" s="7"/>
    </row>
    <row r="29" spans="1:7" ht="15" customHeight="1">
      <c r="A29" s="7" t="str">
        <f>"蔡玉玲"</f>
        <v>蔡玉玲</v>
      </c>
      <c r="B29" s="7">
        <v>20190205</v>
      </c>
      <c r="C29" s="7" t="s">
        <v>22</v>
      </c>
      <c r="D29" s="7">
        <v>76</v>
      </c>
      <c r="E29" s="6">
        <v>76</v>
      </c>
      <c r="F29" s="5">
        <f t="shared" si="1"/>
        <v>6</v>
      </c>
      <c r="G29" s="7"/>
    </row>
    <row r="30" spans="1:7" ht="15" customHeight="1">
      <c r="A30" s="7" t="str">
        <f>"刘苗苗"</f>
        <v>刘苗苗</v>
      </c>
      <c r="B30" s="7">
        <v>20190201</v>
      </c>
      <c r="C30" s="7" t="s">
        <v>22</v>
      </c>
      <c r="D30" s="7">
        <v>75.5</v>
      </c>
      <c r="E30" s="6">
        <v>75.5</v>
      </c>
      <c r="F30" s="5">
        <f t="shared" si="1"/>
        <v>7</v>
      </c>
      <c r="G30" s="7"/>
    </row>
    <row r="31" spans="1:7" ht="15" customHeight="1">
      <c r="A31" s="7" t="str">
        <f>"卢婷"</f>
        <v>卢婷</v>
      </c>
      <c r="B31" s="7">
        <v>20190125</v>
      </c>
      <c r="C31" s="7" t="s">
        <v>22</v>
      </c>
      <c r="D31" s="7">
        <v>75</v>
      </c>
      <c r="E31" s="6">
        <v>75</v>
      </c>
      <c r="F31" s="5">
        <f t="shared" si="1"/>
        <v>8</v>
      </c>
      <c r="G31" s="7"/>
    </row>
    <row r="32" spans="1:7" ht="15" customHeight="1">
      <c r="A32" s="7" t="str">
        <f>"雷蕾"</f>
        <v>雷蕾</v>
      </c>
      <c r="B32" s="7">
        <v>20190208</v>
      </c>
      <c r="C32" s="7" t="s">
        <v>22</v>
      </c>
      <c r="D32" s="7">
        <v>75</v>
      </c>
      <c r="E32" s="6">
        <v>75</v>
      </c>
      <c r="F32" s="5">
        <f t="shared" si="1"/>
        <v>8</v>
      </c>
      <c r="G32" s="7"/>
    </row>
    <row r="33" spans="1:7" ht="15" customHeight="1">
      <c r="A33" s="7" t="str">
        <f>"岳静静"</f>
        <v>岳静静</v>
      </c>
      <c r="B33" s="7">
        <v>20190204</v>
      </c>
      <c r="C33" s="7" t="s">
        <v>22</v>
      </c>
      <c r="D33" s="7">
        <v>74.5</v>
      </c>
      <c r="E33" s="6">
        <v>74.5</v>
      </c>
      <c r="F33" s="5">
        <f t="shared" si="1"/>
        <v>10</v>
      </c>
      <c r="G33" s="7"/>
    </row>
    <row r="34" spans="1:7" ht="15" customHeight="1">
      <c r="A34" s="7" t="str">
        <f>"钮艳云"</f>
        <v>钮艳云</v>
      </c>
      <c r="B34" s="7">
        <v>20190210</v>
      </c>
      <c r="C34" s="7" t="s">
        <v>22</v>
      </c>
      <c r="D34" s="7">
        <v>74.5</v>
      </c>
      <c r="E34" s="6">
        <v>74.5</v>
      </c>
      <c r="F34" s="5">
        <f t="shared" si="1"/>
        <v>10</v>
      </c>
      <c r="G34" s="7"/>
    </row>
    <row r="35" spans="1:7" ht="15" customHeight="1">
      <c r="A35" s="7" t="str">
        <f>"刘双"</f>
        <v>刘双</v>
      </c>
      <c r="B35" s="7">
        <v>20190129</v>
      </c>
      <c r="C35" s="7" t="s">
        <v>22</v>
      </c>
      <c r="D35" s="7">
        <v>73.5</v>
      </c>
      <c r="E35" s="6">
        <v>73.5</v>
      </c>
      <c r="F35" s="5">
        <f t="shared" si="1"/>
        <v>12</v>
      </c>
      <c r="G35" s="7"/>
    </row>
    <row r="36" spans="1:7" ht="15" customHeight="1">
      <c r="A36" s="7" t="str">
        <f>"罗晓"</f>
        <v>罗晓</v>
      </c>
      <c r="B36" s="7">
        <v>20190207</v>
      </c>
      <c r="C36" s="7" t="s">
        <v>22</v>
      </c>
      <c r="D36" s="7">
        <v>73.5</v>
      </c>
      <c r="E36" s="6">
        <v>73.5</v>
      </c>
      <c r="F36" s="5">
        <f t="shared" si="1"/>
        <v>12</v>
      </c>
      <c r="G36" s="7"/>
    </row>
    <row r="37" spans="1:7" ht="15" customHeight="1">
      <c r="A37" s="7" t="str">
        <f>"葛婉"</f>
        <v>葛婉</v>
      </c>
      <c r="B37" s="7">
        <v>20190202</v>
      </c>
      <c r="C37" s="7" t="s">
        <v>22</v>
      </c>
      <c r="D37" s="7">
        <v>73</v>
      </c>
      <c r="E37" s="6">
        <v>73</v>
      </c>
      <c r="F37" s="5">
        <f t="shared" si="1"/>
        <v>14</v>
      </c>
      <c r="G37" s="7"/>
    </row>
    <row r="38" spans="1:7" ht="15" customHeight="1">
      <c r="A38" s="7" t="str">
        <f>"王璘"</f>
        <v>王璘</v>
      </c>
      <c r="B38" s="7">
        <v>20190209</v>
      </c>
      <c r="C38" s="7" t="s">
        <v>22</v>
      </c>
      <c r="D38" s="7">
        <v>73</v>
      </c>
      <c r="E38" s="6">
        <v>73</v>
      </c>
      <c r="F38" s="5">
        <f t="shared" si="1"/>
        <v>14</v>
      </c>
      <c r="G38" s="7"/>
    </row>
    <row r="39" spans="1:7" ht="15" customHeight="1">
      <c r="A39" s="7" t="str">
        <f>"王孟"</f>
        <v>王孟</v>
      </c>
      <c r="B39" s="7">
        <v>20190212</v>
      </c>
      <c r="C39" s="7" t="s">
        <v>22</v>
      </c>
      <c r="D39" s="7">
        <v>73</v>
      </c>
      <c r="E39" s="6">
        <v>73</v>
      </c>
      <c r="F39" s="5">
        <f t="shared" si="1"/>
        <v>14</v>
      </c>
      <c r="G39" s="7"/>
    </row>
    <row r="40" spans="1:7" ht="15" customHeight="1">
      <c r="A40" s="7" t="str">
        <f>"王梦莹"</f>
        <v>王梦莹</v>
      </c>
      <c r="B40" s="7">
        <v>20190206</v>
      </c>
      <c r="C40" s="7" t="s">
        <v>22</v>
      </c>
      <c r="D40" s="7">
        <v>70.5</v>
      </c>
      <c r="E40" s="6">
        <v>70.5</v>
      </c>
      <c r="F40" s="5">
        <f t="shared" si="1"/>
        <v>17</v>
      </c>
      <c r="G40" s="7"/>
    </row>
    <row r="41" spans="1:7" ht="15" customHeight="1">
      <c r="A41" s="7" t="str">
        <f>"丁旭"</f>
        <v>丁旭</v>
      </c>
      <c r="B41" s="7">
        <v>20190123</v>
      </c>
      <c r="C41" s="7" t="s">
        <v>22</v>
      </c>
      <c r="D41" s="7">
        <v>69.5</v>
      </c>
      <c r="E41" s="6">
        <v>69.5</v>
      </c>
      <c r="F41" s="5">
        <f t="shared" si="1"/>
        <v>18</v>
      </c>
      <c r="G41" s="7"/>
    </row>
    <row r="42" spans="1:7" ht="15" customHeight="1">
      <c r="A42" s="7" t="str">
        <f>"韩俊霞"</f>
        <v>韩俊霞</v>
      </c>
      <c r="B42" s="7">
        <v>20190211</v>
      </c>
      <c r="C42" s="7" t="s">
        <v>22</v>
      </c>
      <c r="D42" s="7">
        <v>67</v>
      </c>
      <c r="E42" s="6">
        <v>67</v>
      </c>
      <c r="F42" s="5">
        <f t="shared" si="1"/>
        <v>19</v>
      </c>
      <c r="G42" s="7"/>
    </row>
    <row r="43" spans="1:7" ht="15" customHeight="1">
      <c r="A43" s="7" t="str">
        <f>"马晓冰"</f>
        <v>马晓冰</v>
      </c>
      <c r="B43" s="7">
        <v>20190203</v>
      </c>
      <c r="C43" s="7" t="s">
        <v>22</v>
      </c>
      <c r="D43" s="7">
        <v>63.5</v>
      </c>
      <c r="E43" s="6">
        <v>63.5</v>
      </c>
      <c r="F43" s="5">
        <f t="shared" si="1"/>
        <v>20</v>
      </c>
      <c r="G43" s="7"/>
    </row>
    <row r="44" spans="1:7" ht="15" customHeight="1">
      <c r="A44" s="7" t="str">
        <f>"罗航航"</f>
        <v>罗航航</v>
      </c>
      <c r="B44" s="7">
        <v>20190309</v>
      </c>
      <c r="C44" s="7" t="s">
        <v>21</v>
      </c>
      <c r="D44" s="7">
        <v>83.5</v>
      </c>
      <c r="E44" s="6">
        <v>83.5</v>
      </c>
      <c r="F44" s="5">
        <f t="shared" ref="F44:F76" si="2">_xlfn.RANK.EQ(E44,$E$44:$E$77)</f>
        <v>1</v>
      </c>
      <c r="G44" s="7"/>
    </row>
    <row r="45" spans="1:7" ht="15" customHeight="1">
      <c r="A45" s="7" t="str">
        <f>"张杰慧"</f>
        <v>张杰慧</v>
      </c>
      <c r="B45" s="7">
        <v>20190214</v>
      </c>
      <c r="C45" s="7" t="s">
        <v>21</v>
      </c>
      <c r="D45" s="7">
        <v>82</v>
      </c>
      <c r="E45" s="6">
        <v>82</v>
      </c>
      <c r="F45" s="5">
        <f t="shared" si="2"/>
        <v>2</v>
      </c>
      <c r="G45" s="7"/>
    </row>
    <row r="46" spans="1:7" ht="15" customHeight="1">
      <c r="A46" s="7" t="str">
        <f>"齐若杉"</f>
        <v>齐若杉</v>
      </c>
      <c r="B46" s="7">
        <v>20190221</v>
      </c>
      <c r="C46" s="7" t="s">
        <v>21</v>
      </c>
      <c r="D46" s="7">
        <v>82</v>
      </c>
      <c r="E46" s="6">
        <v>82</v>
      </c>
      <c r="F46" s="5">
        <f t="shared" si="2"/>
        <v>2</v>
      </c>
      <c r="G46" s="7"/>
    </row>
    <row r="47" spans="1:7" ht="15" customHeight="1">
      <c r="A47" s="7" t="str">
        <f>"刘宏彦"</f>
        <v>刘宏彦</v>
      </c>
      <c r="B47" s="7">
        <v>20190230</v>
      </c>
      <c r="C47" s="7" t="s">
        <v>21</v>
      </c>
      <c r="D47" s="7">
        <v>81.5</v>
      </c>
      <c r="E47" s="6">
        <v>81.5</v>
      </c>
      <c r="F47" s="5">
        <f t="shared" si="2"/>
        <v>4</v>
      </c>
      <c r="G47" s="7"/>
    </row>
    <row r="48" spans="1:7" ht="15" customHeight="1">
      <c r="A48" s="7" t="str">
        <f>"王阳"</f>
        <v>王阳</v>
      </c>
      <c r="B48" s="7">
        <v>20190216</v>
      </c>
      <c r="C48" s="7" t="s">
        <v>21</v>
      </c>
      <c r="D48" s="7">
        <v>80</v>
      </c>
      <c r="E48" s="6">
        <v>80</v>
      </c>
      <c r="F48" s="5">
        <f t="shared" si="2"/>
        <v>5</v>
      </c>
      <c r="G48" s="7"/>
    </row>
    <row r="49" spans="1:7" ht="15" customHeight="1">
      <c r="A49" s="7" t="str">
        <f>"卢晨阳"</f>
        <v>卢晨阳</v>
      </c>
      <c r="B49" s="7">
        <v>20190227</v>
      </c>
      <c r="C49" s="7" t="s">
        <v>21</v>
      </c>
      <c r="D49" s="7">
        <v>79.5</v>
      </c>
      <c r="E49" s="6">
        <v>79.5</v>
      </c>
      <c r="F49" s="5">
        <f t="shared" si="2"/>
        <v>6</v>
      </c>
      <c r="G49" s="7"/>
    </row>
    <row r="50" spans="1:7" ht="15" customHeight="1">
      <c r="A50" s="7" t="str">
        <f>"冯哲璞"</f>
        <v>冯哲璞</v>
      </c>
      <c r="B50" s="7">
        <v>20190305</v>
      </c>
      <c r="C50" s="7" t="s">
        <v>21</v>
      </c>
      <c r="D50" s="7">
        <v>79.5</v>
      </c>
      <c r="E50" s="6">
        <v>79.5</v>
      </c>
      <c r="F50" s="5">
        <f t="shared" si="2"/>
        <v>6</v>
      </c>
      <c r="G50" s="7"/>
    </row>
    <row r="51" spans="1:7" ht="15" customHeight="1">
      <c r="A51" s="7" t="str">
        <f>"朱予"</f>
        <v>朱予</v>
      </c>
      <c r="B51" s="7">
        <v>20190308</v>
      </c>
      <c r="C51" s="7" t="s">
        <v>21</v>
      </c>
      <c r="D51" s="7">
        <v>79.5</v>
      </c>
      <c r="E51" s="6">
        <v>79.5</v>
      </c>
      <c r="F51" s="5">
        <f t="shared" si="2"/>
        <v>6</v>
      </c>
      <c r="G51" s="7"/>
    </row>
    <row r="52" spans="1:7" ht="15" customHeight="1">
      <c r="A52" s="7" t="str">
        <f>"张克茹"</f>
        <v>张克茹</v>
      </c>
      <c r="B52" s="7">
        <v>20190228</v>
      </c>
      <c r="C52" s="7" t="s">
        <v>21</v>
      </c>
      <c r="D52" s="7">
        <v>79</v>
      </c>
      <c r="E52" s="6">
        <v>79</v>
      </c>
      <c r="F52" s="5">
        <f t="shared" si="2"/>
        <v>9</v>
      </c>
      <c r="G52" s="7"/>
    </row>
    <row r="53" spans="1:7" ht="15" customHeight="1">
      <c r="A53" s="7" t="str">
        <f>"裴爽爽"</f>
        <v>裴爽爽</v>
      </c>
      <c r="B53" s="7">
        <v>20190313</v>
      </c>
      <c r="C53" s="7" t="s">
        <v>21</v>
      </c>
      <c r="D53" s="7">
        <v>79</v>
      </c>
      <c r="E53" s="6">
        <v>79</v>
      </c>
      <c r="F53" s="5">
        <f t="shared" si="2"/>
        <v>9</v>
      </c>
      <c r="G53" s="7"/>
    </row>
    <row r="54" spans="1:7" ht="15" customHeight="1">
      <c r="A54" s="7" t="str">
        <f>"吕杰玲"</f>
        <v>吕杰玲</v>
      </c>
      <c r="B54" s="7">
        <v>20190219</v>
      </c>
      <c r="C54" s="7" t="s">
        <v>21</v>
      </c>
      <c r="D54" s="7">
        <v>78.5</v>
      </c>
      <c r="E54" s="6">
        <v>78.5</v>
      </c>
      <c r="F54" s="5">
        <f t="shared" si="2"/>
        <v>11</v>
      </c>
      <c r="G54" s="7"/>
    </row>
    <row r="55" spans="1:7" ht="15" customHeight="1">
      <c r="A55" s="7" t="str">
        <f>"高杰"</f>
        <v>高杰</v>
      </c>
      <c r="B55" s="7">
        <v>20190229</v>
      </c>
      <c r="C55" s="7" t="s">
        <v>21</v>
      </c>
      <c r="D55" s="7">
        <v>78.5</v>
      </c>
      <c r="E55" s="6">
        <v>78.5</v>
      </c>
      <c r="F55" s="5">
        <f t="shared" si="2"/>
        <v>11</v>
      </c>
      <c r="G55" s="7"/>
    </row>
    <row r="56" spans="1:7" ht="15" customHeight="1">
      <c r="A56" s="7" t="str">
        <f>"肖嫚"</f>
        <v>肖嫚</v>
      </c>
      <c r="B56" s="7">
        <v>20190225</v>
      </c>
      <c r="C56" s="7" t="s">
        <v>21</v>
      </c>
      <c r="D56" s="7">
        <v>78</v>
      </c>
      <c r="E56" s="6">
        <v>78</v>
      </c>
      <c r="F56" s="5">
        <f t="shared" si="2"/>
        <v>13</v>
      </c>
      <c r="G56" s="7"/>
    </row>
    <row r="57" spans="1:7" ht="15" customHeight="1">
      <c r="A57" s="7" t="str">
        <f>"李莉"</f>
        <v>李莉</v>
      </c>
      <c r="B57" s="7">
        <v>20190307</v>
      </c>
      <c r="C57" s="7" t="s">
        <v>21</v>
      </c>
      <c r="D57" s="7">
        <v>78</v>
      </c>
      <c r="E57" s="6">
        <v>78</v>
      </c>
      <c r="F57" s="5">
        <f t="shared" si="2"/>
        <v>13</v>
      </c>
      <c r="G57" s="7"/>
    </row>
    <row r="58" spans="1:7" ht="15" customHeight="1">
      <c r="A58" s="7" t="str">
        <f>"常俊雅"</f>
        <v>常俊雅</v>
      </c>
      <c r="B58" s="7">
        <v>20190218</v>
      </c>
      <c r="C58" s="7" t="s">
        <v>21</v>
      </c>
      <c r="D58" s="7">
        <v>77.5</v>
      </c>
      <c r="E58" s="6">
        <v>77.5</v>
      </c>
      <c r="F58" s="5">
        <f t="shared" si="2"/>
        <v>15</v>
      </c>
      <c r="G58" s="7"/>
    </row>
    <row r="59" spans="1:7" ht="15" customHeight="1">
      <c r="A59" s="7" t="str">
        <f>"王金"</f>
        <v>王金</v>
      </c>
      <c r="B59" s="7">
        <v>20190220</v>
      </c>
      <c r="C59" s="7" t="s">
        <v>21</v>
      </c>
      <c r="D59" s="7">
        <v>77.5</v>
      </c>
      <c r="E59" s="6">
        <v>77.5</v>
      </c>
      <c r="F59" s="5">
        <f t="shared" si="2"/>
        <v>15</v>
      </c>
      <c r="G59" s="7"/>
    </row>
    <row r="60" spans="1:7" ht="15" customHeight="1">
      <c r="A60" s="7" t="str">
        <f>"郭文楠"</f>
        <v>郭文楠</v>
      </c>
      <c r="B60" s="7">
        <v>20190315</v>
      </c>
      <c r="C60" s="7" t="s">
        <v>21</v>
      </c>
      <c r="D60" s="7">
        <v>77.5</v>
      </c>
      <c r="E60" s="6">
        <v>77.5</v>
      </c>
      <c r="F60" s="5">
        <f t="shared" si="2"/>
        <v>15</v>
      </c>
      <c r="G60" s="7"/>
    </row>
    <row r="61" spans="1:7" ht="15" customHeight="1">
      <c r="A61" s="7" t="str">
        <f>"程双"</f>
        <v>程双</v>
      </c>
      <c r="B61" s="7">
        <v>20190215</v>
      </c>
      <c r="C61" s="7" t="s">
        <v>21</v>
      </c>
      <c r="D61" s="7">
        <v>77</v>
      </c>
      <c r="E61" s="6">
        <v>77</v>
      </c>
      <c r="F61" s="5">
        <f t="shared" si="2"/>
        <v>18</v>
      </c>
      <c r="G61" s="7"/>
    </row>
    <row r="62" spans="1:7" ht="15" customHeight="1">
      <c r="A62" s="7" t="str">
        <f>"任程"</f>
        <v>任程</v>
      </c>
      <c r="B62" s="7">
        <v>20190222</v>
      </c>
      <c r="C62" s="7" t="s">
        <v>21</v>
      </c>
      <c r="D62" s="7">
        <v>77</v>
      </c>
      <c r="E62" s="6">
        <v>77</v>
      </c>
      <c r="F62" s="5">
        <f t="shared" si="2"/>
        <v>18</v>
      </c>
      <c r="G62" s="7"/>
    </row>
    <row r="63" spans="1:7" ht="15" customHeight="1">
      <c r="A63" s="7" t="str">
        <f>"程帆"</f>
        <v>程帆</v>
      </c>
      <c r="B63" s="7">
        <v>20190304</v>
      </c>
      <c r="C63" s="7" t="s">
        <v>21</v>
      </c>
      <c r="D63" s="7">
        <v>77</v>
      </c>
      <c r="E63" s="6">
        <v>77</v>
      </c>
      <c r="F63" s="5">
        <f t="shared" si="2"/>
        <v>18</v>
      </c>
      <c r="G63" s="7"/>
    </row>
    <row r="64" spans="1:7" ht="15" customHeight="1">
      <c r="A64" s="11" t="str">
        <f>"赵静"</f>
        <v>赵静</v>
      </c>
      <c r="B64" s="11">
        <v>20190314</v>
      </c>
      <c r="C64" s="11" t="s">
        <v>21</v>
      </c>
      <c r="D64" s="11">
        <v>77</v>
      </c>
      <c r="E64" s="10">
        <v>77</v>
      </c>
      <c r="F64" s="5">
        <f t="shared" si="2"/>
        <v>18</v>
      </c>
      <c r="G64" s="11"/>
    </row>
    <row r="65" spans="1:7" ht="15" customHeight="1">
      <c r="A65" s="7" t="str">
        <f>"焦晓涵"</f>
        <v>焦晓涵</v>
      </c>
      <c r="B65" s="7">
        <v>20190316</v>
      </c>
      <c r="C65" s="7" t="s">
        <v>21</v>
      </c>
      <c r="D65" s="7">
        <v>77</v>
      </c>
      <c r="E65" s="6">
        <v>77</v>
      </c>
      <c r="F65" s="5">
        <f t="shared" si="2"/>
        <v>18</v>
      </c>
      <c r="G65" s="7"/>
    </row>
    <row r="66" spans="1:7" ht="15" customHeight="1">
      <c r="A66" s="7" t="str">
        <f>"时欣欣"</f>
        <v>时欣欣</v>
      </c>
      <c r="B66" s="7">
        <v>20190301</v>
      </c>
      <c r="C66" s="7" t="s">
        <v>21</v>
      </c>
      <c r="D66" s="7">
        <v>76.5</v>
      </c>
      <c r="E66" s="6">
        <v>76.5</v>
      </c>
      <c r="F66" s="5">
        <f t="shared" si="2"/>
        <v>23</v>
      </c>
      <c r="G66" s="7"/>
    </row>
    <row r="67" spans="1:7" ht="15" customHeight="1">
      <c r="A67" s="7" t="str">
        <f>"魏正雅"</f>
        <v>魏正雅</v>
      </c>
      <c r="B67" s="7">
        <v>20190217</v>
      </c>
      <c r="C67" s="7" t="s">
        <v>21</v>
      </c>
      <c r="D67" s="7">
        <v>76</v>
      </c>
      <c r="E67" s="6">
        <v>76</v>
      </c>
      <c r="F67" s="5">
        <f t="shared" si="2"/>
        <v>24</v>
      </c>
      <c r="G67" s="7"/>
    </row>
    <row r="68" spans="1:7" ht="15" customHeight="1">
      <c r="A68" s="7" t="str">
        <f>"程娟"</f>
        <v>程娟</v>
      </c>
      <c r="B68" s="7">
        <v>20190310</v>
      </c>
      <c r="C68" s="7" t="s">
        <v>21</v>
      </c>
      <c r="D68" s="7">
        <v>75.5</v>
      </c>
      <c r="E68" s="6">
        <v>75.5</v>
      </c>
      <c r="F68" s="5">
        <f t="shared" si="2"/>
        <v>25</v>
      </c>
      <c r="G68" s="7"/>
    </row>
    <row r="69" spans="1:7" ht="15" customHeight="1">
      <c r="A69" s="7" t="str">
        <f>"梁娜宵"</f>
        <v>梁娜宵</v>
      </c>
      <c r="B69" s="7">
        <v>20190213</v>
      </c>
      <c r="C69" s="7" t="s">
        <v>21</v>
      </c>
      <c r="D69" s="7">
        <v>75</v>
      </c>
      <c r="E69" s="6">
        <v>75</v>
      </c>
      <c r="F69" s="5">
        <f t="shared" si="2"/>
        <v>26</v>
      </c>
      <c r="G69" s="7"/>
    </row>
    <row r="70" spans="1:7" ht="15" customHeight="1">
      <c r="A70" s="7" t="str">
        <f>"单晓兰"</f>
        <v>单晓兰</v>
      </c>
      <c r="B70" s="7">
        <v>20190223</v>
      </c>
      <c r="C70" s="7" t="s">
        <v>21</v>
      </c>
      <c r="D70" s="7">
        <v>75</v>
      </c>
      <c r="E70" s="6">
        <v>75</v>
      </c>
      <c r="F70" s="5">
        <f t="shared" si="2"/>
        <v>26</v>
      </c>
      <c r="G70" s="7"/>
    </row>
    <row r="71" spans="1:7" ht="15" customHeight="1">
      <c r="A71" s="7" t="str">
        <f>"耿碧玮"</f>
        <v>耿碧玮</v>
      </c>
      <c r="B71" s="7">
        <v>20190226</v>
      </c>
      <c r="C71" s="7" t="s">
        <v>21</v>
      </c>
      <c r="D71" s="7">
        <v>75</v>
      </c>
      <c r="E71" s="6">
        <v>75</v>
      </c>
      <c r="F71" s="5">
        <f t="shared" si="2"/>
        <v>26</v>
      </c>
      <c r="G71" s="7"/>
    </row>
    <row r="72" spans="1:7" ht="15" customHeight="1">
      <c r="A72" s="7" t="str">
        <f>"田雪柯"</f>
        <v>田雪柯</v>
      </c>
      <c r="B72" s="7">
        <v>20190303</v>
      </c>
      <c r="C72" s="7" t="s">
        <v>21</v>
      </c>
      <c r="D72" s="7">
        <v>72.5</v>
      </c>
      <c r="E72" s="6">
        <v>72.5</v>
      </c>
      <c r="F72" s="5">
        <f t="shared" si="2"/>
        <v>29</v>
      </c>
      <c r="G72" s="7"/>
    </row>
    <row r="73" spans="1:7" ht="15" customHeight="1">
      <c r="A73" s="7" t="str">
        <f>"张豫淅"</f>
        <v>张豫淅</v>
      </c>
      <c r="B73" s="7">
        <v>20190224</v>
      </c>
      <c r="C73" s="7" t="s">
        <v>21</v>
      </c>
      <c r="D73" s="7">
        <v>71.5</v>
      </c>
      <c r="E73" s="6">
        <v>71.5</v>
      </c>
      <c r="F73" s="5">
        <f t="shared" si="2"/>
        <v>30</v>
      </c>
      <c r="G73" s="7"/>
    </row>
    <row r="74" spans="1:7" ht="15" customHeight="1">
      <c r="A74" s="7" t="str">
        <f>"张孟玲"</f>
        <v>张孟玲</v>
      </c>
      <c r="B74" s="7">
        <v>20190306</v>
      </c>
      <c r="C74" s="7" t="s">
        <v>21</v>
      </c>
      <c r="D74" s="7">
        <v>71</v>
      </c>
      <c r="E74" s="6">
        <v>71</v>
      </c>
      <c r="F74" s="5">
        <f t="shared" si="2"/>
        <v>31</v>
      </c>
      <c r="G74" s="7"/>
    </row>
    <row r="75" spans="1:7" ht="15" customHeight="1">
      <c r="A75" s="7" t="str">
        <f>"赵娜"</f>
        <v>赵娜</v>
      </c>
      <c r="B75" s="7">
        <v>20190311</v>
      </c>
      <c r="C75" s="7" t="s">
        <v>21</v>
      </c>
      <c r="D75" s="7">
        <v>70</v>
      </c>
      <c r="E75" s="6">
        <v>70</v>
      </c>
      <c r="F75" s="5">
        <f t="shared" si="2"/>
        <v>32</v>
      </c>
      <c r="G75" s="7"/>
    </row>
    <row r="76" spans="1:7" ht="15" customHeight="1">
      <c r="A76" s="7" t="str">
        <f>"苗亚曼"</f>
        <v>苗亚曼</v>
      </c>
      <c r="B76" s="7">
        <v>20190312</v>
      </c>
      <c r="C76" s="7" t="s">
        <v>21</v>
      </c>
      <c r="D76" s="7">
        <v>69.5</v>
      </c>
      <c r="E76" s="6">
        <v>69.5</v>
      </c>
      <c r="F76" s="5">
        <f t="shared" si="2"/>
        <v>33</v>
      </c>
      <c r="G76" s="7"/>
    </row>
    <row r="77" spans="1:7" ht="15" customHeight="1">
      <c r="A77" s="7" t="str">
        <f>"齐莹莹"</f>
        <v>齐莹莹</v>
      </c>
      <c r="B77" s="7">
        <v>20190302</v>
      </c>
      <c r="C77" s="7" t="s">
        <v>21</v>
      </c>
      <c r="D77" s="7">
        <v>0</v>
      </c>
      <c r="E77" s="6">
        <v>0</v>
      </c>
      <c r="F77" s="5"/>
      <c r="G77" s="7" t="s">
        <v>0</v>
      </c>
    </row>
    <row r="78" spans="1:7" ht="15" customHeight="1">
      <c r="A78" s="7" t="str">
        <f>"梅李慧"</f>
        <v>梅李慧</v>
      </c>
      <c r="B78" s="7">
        <v>20190318</v>
      </c>
      <c r="C78" s="7" t="s">
        <v>20</v>
      </c>
      <c r="D78" s="7">
        <v>76</v>
      </c>
      <c r="E78" s="6">
        <v>76</v>
      </c>
      <c r="F78" s="5">
        <v>1</v>
      </c>
      <c r="G78" s="7"/>
    </row>
    <row r="79" spans="1:7" ht="15" customHeight="1">
      <c r="A79" s="7" t="str">
        <f>"王士杰"</f>
        <v>王士杰</v>
      </c>
      <c r="B79" s="7">
        <v>20190317</v>
      </c>
      <c r="C79" s="7" t="s">
        <v>20</v>
      </c>
      <c r="D79" s="7">
        <v>70</v>
      </c>
      <c r="E79" s="6">
        <v>70</v>
      </c>
      <c r="F79" s="5">
        <v>2</v>
      </c>
      <c r="G79" s="7"/>
    </row>
    <row r="80" spans="1:7" ht="15" customHeight="1">
      <c r="A80" s="7" t="str">
        <f>"吴小哲"</f>
        <v>吴小哲</v>
      </c>
      <c r="B80" s="7">
        <v>20190319</v>
      </c>
      <c r="C80" s="7" t="s">
        <v>20</v>
      </c>
      <c r="D80" s="7">
        <v>69.5</v>
      </c>
      <c r="E80" s="6">
        <v>69.5</v>
      </c>
      <c r="F80" s="5">
        <v>3</v>
      </c>
      <c r="G80" s="7"/>
    </row>
    <row r="81" spans="1:7" ht="15" customHeight="1">
      <c r="A81" s="7" t="str">
        <f>"曾宇"</f>
        <v>曾宇</v>
      </c>
      <c r="B81" s="7">
        <v>20190320</v>
      </c>
      <c r="C81" s="7" t="s">
        <v>20</v>
      </c>
      <c r="D81" s="7">
        <v>67</v>
      </c>
      <c r="E81" s="6">
        <v>67</v>
      </c>
      <c r="F81" s="5">
        <v>4</v>
      </c>
      <c r="G81" s="7"/>
    </row>
    <row r="82" spans="1:7" ht="15" customHeight="1">
      <c r="A82" s="7" t="str">
        <f>"张迎"</f>
        <v>张迎</v>
      </c>
      <c r="B82" s="7">
        <v>20190325</v>
      </c>
      <c r="C82" s="7" t="s">
        <v>19</v>
      </c>
      <c r="D82" s="7">
        <v>79</v>
      </c>
      <c r="E82" s="6">
        <v>79</v>
      </c>
      <c r="F82" s="5">
        <v>1</v>
      </c>
      <c r="G82" s="7"/>
    </row>
    <row r="83" spans="1:7" ht="15" customHeight="1">
      <c r="A83" s="7" t="str">
        <f>"郑真真"</f>
        <v>郑真真</v>
      </c>
      <c r="B83" s="7">
        <v>20190324</v>
      </c>
      <c r="C83" s="7" t="s">
        <v>19</v>
      </c>
      <c r="D83" s="7">
        <v>77.5</v>
      </c>
      <c r="E83" s="6">
        <v>77.5</v>
      </c>
      <c r="F83" s="5">
        <v>2</v>
      </c>
      <c r="G83" s="7"/>
    </row>
    <row r="84" spans="1:7" ht="15" customHeight="1">
      <c r="A84" s="7" t="str">
        <f>"卢倩煜"</f>
        <v>卢倩煜</v>
      </c>
      <c r="B84" s="7">
        <v>20190321</v>
      </c>
      <c r="C84" s="7" t="s">
        <v>19</v>
      </c>
      <c r="D84" s="7">
        <v>75.5</v>
      </c>
      <c r="E84" s="6">
        <v>75.5</v>
      </c>
      <c r="F84" s="5">
        <v>3</v>
      </c>
      <c r="G84" s="7"/>
    </row>
    <row r="85" spans="1:7" ht="15" customHeight="1">
      <c r="A85" s="7" t="str">
        <f>"赵莉萍"</f>
        <v>赵莉萍</v>
      </c>
      <c r="B85" s="7">
        <v>20190326</v>
      </c>
      <c r="C85" s="7" t="s">
        <v>19</v>
      </c>
      <c r="D85" s="7">
        <v>74</v>
      </c>
      <c r="E85" s="6">
        <v>74</v>
      </c>
      <c r="F85" s="5">
        <v>4</v>
      </c>
      <c r="G85" s="7"/>
    </row>
    <row r="86" spans="1:7" ht="15" customHeight="1">
      <c r="A86" s="7" t="str">
        <f>"李杨"</f>
        <v>李杨</v>
      </c>
      <c r="B86" s="7">
        <v>20190322</v>
      </c>
      <c r="C86" s="7" t="s">
        <v>19</v>
      </c>
      <c r="D86" s="7">
        <v>70.5</v>
      </c>
      <c r="E86" s="6">
        <v>70.5</v>
      </c>
      <c r="F86" s="5">
        <v>5</v>
      </c>
      <c r="G86" s="7"/>
    </row>
    <row r="87" spans="1:7" ht="15" customHeight="1">
      <c r="A87" s="7" t="str">
        <f>"黄继凡"</f>
        <v>黄继凡</v>
      </c>
      <c r="B87" s="7">
        <v>20190323</v>
      </c>
      <c r="C87" s="7" t="s">
        <v>19</v>
      </c>
      <c r="D87" s="7">
        <v>70</v>
      </c>
      <c r="E87" s="6">
        <v>70</v>
      </c>
      <c r="F87" s="5">
        <v>6</v>
      </c>
      <c r="G87" s="7"/>
    </row>
    <row r="88" spans="1:7" ht="15" customHeight="1">
      <c r="A88" s="7" t="str">
        <f>"杨明阳"</f>
        <v>杨明阳</v>
      </c>
      <c r="B88" s="7">
        <v>20190403</v>
      </c>
      <c r="C88" s="7" t="s">
        <v>18</v>
      </c>
      <c r="D88" s="7">
        <v>78</v>
      </c>
      <c r="E88" s="6">
        <v>78</v>
      </c>
      <c r="F88" s="5">
        <v>1</v>
      </c>
      <c r="G88" s="7"/>
    </row>
    <row r="89" spans="1:7" ht="15" customHeight="1">
      <c r="A89" s="7" t="str">
        <f>"钱逸明"</f>
        <v>钱逸明</v>
      </c>
      <c r="B89" s="7">
        <v>20190328</v>
      </c>
      <c r="C89" s="7" t="s">
        <v>18</v>
      </c>
      <c r="D89" s="7">
        <v>77.5</v>
      </c>
      <c r="E89" s="6">
        <v>77.5</v>
      </c>
      <c r="F89" s="5">
        <v>2</v>
      </c>
      <c r="G89" s="7"/>
    </row>
    <row r="90" spans="1:7" ht="15" customHeight="1">
      <c r="A90" s="7" t="str">
        <f>"魏梦"</f>
        <v>魏梦</v>
      </c>
      <c r="B90" s="7">
        <v>20190327</v>
      </c>
      <c r="C90" s="7" t="s">
        <v>18</v>
      </c>
      <c r="D90" s="7">
        <v>77</v>
      </c>
      <c r="E90" s="6">
        <v>77</v>
      </c>
      <c r="F90" s="5">
        <v>3</v>
      </c>
      <c r="G90" s="7"/>
    </row>
    <row r="91" spans="1:7" ht="15" customHeight="1">
      <c r="A91" s="11" t="str">
        <f>"李佳"</f>
        <v>李佳</v>
      </c>
      <c r="B91" s="11">
        <v>20190401</v>
      </c>
      <c r="C91" s="11" t="s">
        <v>18</v>
      </c>
      <c r="D91" s="11">
        <v>71.5</v>
      </c>
      <c r="E91" s="10">
        <v>71.5</v>
      </c>
      <c r="F91" s="5">
        <v>4</v>
      </c>
      <c r="G91" s="11"/>
    </row>
    <row r="92" spans="1:7" ht="15" customHeight="1">
      <c r="A92" s="7" t="str">
        <f>"张亚静"</f>
        <v>张亚静</v>
      </c>
      <c r="B92" s="7">
        <v>20190402</v>
      </c>
      <c r="C92" s="7" t="s">
        <v>18</v>
      </c>
      <c r="D92" s="7">
        <v>70.5</v>
      </c>
      <c r="E92" s="6">
        <v>70.5</v>
      </c>
      <c r="F92" s="5">
        <v>5</v>
      </c>
      <c r="G92" s="7"/>
    </row>
    <row r="93" spans="1:7" ht="15" customHeight="1">
      <c r="A93" s="7" t="str">
        <f>"易常会"</f>
        <v>易常会</v>
      </c>
      <c r="B93" s="7">
        <v>20190330</v>
      </c>
      <c r="C93" s="7" t="s">
        <v>18</v>
      </c>
      <c r="D93" s="7">
        <v>69</v>
      </c>
      <c r="E93" s="6">
        <v>69</v>
      </c>
      <c r="F93" s="5">
        <v>6</v>
      </c>
      <c r="G93" s="7"/>
    </row>
    <row r="94" spans="1:7" ht="15" customHeight="1">
      <c r="A94" s="7" t="str">
        <f>"仵亚鑫"</f>
        <v>仵亚鑫</v>
      </c>
      <c r="B94" s="7">
        <v>20190329</v>
      </c>
      <c r="C94" s="7" t="s">
        <v>18</v>
      </c>
      <c r="D94" s="7">
        <v>0</v>
      </c>
      <c r="E94" s="6">
        <v>0</v>
      </c>
      <c r="F94" s="5"/>
      <c r="G94" s="7" t="s">
        <v>0</v>
      </c>
    </row>
    <row r="95" spans="1:7" ht="15" customHeight="1">
      <c r="A95" s="7" t="str">
        <f>"司念"</f>
        <v>司念</v>
      </c>
      <c r="B95" s="7">
        <v>20190406</v>
      </c>
      <c r="C95" s="7" t="s">
        <v>17</v>
      </c>
      <c r="D95" s="7">
        <v>82.5</v>
      </c>
      <c r="E95" s="6">
        <v>82.5</v>
      </c>
      <c r="F95" s="5">
        <v>1</v>
      </c>
      <c r="G95" s="7"/>
    </row>
    <row r="96" spans="1:7" ht="15" customHeight="1">
      <c r="A96" s="11" t="str">
        <f>"岳阳"</f>
        <v>岳阳</v>
      </c>
      <c r="B96" s="11">
        <v>20190405</v>
      </c>
      <c r="C96" s="11" t="s">
        <v>17</v>
      </c>
      <c r="D96" s="11">
        <v>79.5</v>
      </c>
      <c r="E96" s="10">
        <v>79.5</v>
      </c>
      <c r="F96" s="9">
        <v>2</v>
      </c>
      <c r="G96" s="11"/>
    </row>
    <row r="97" spans="1:7" ht="15" customHeight="1">
      <c r="A97" s="7" t="str">
        <f>"马瑞婉"</f>
        <v>马瑞婉</v>
      </c>
      <c r="B97" s="7">
        <v>20190408</v>
      </c>
      <c r="C97" s="7" t="s">
        <v>17</v>
      </c>
      <c r="D97" s="7">
        <v>79</v>
      </c>
      <c r="E97" s="6">
        <v>79</v>
      </c>
      <c r="F97" s="5">
        <v>3</v>
      </c>
      <c r="G97" s="7"/>
    </row>
    <row r="98" spans="1:7" ht="15" customHeight="1">
      <c r="A98" s="7" t="str">
        <f>"张楠"</f>
        <v>张楠</v>
      </c>
      <c r="B98" s="7">
        <v>20190409</v>
      </c>
      <c r="C98" s="7" t="s">
        <v>17</v>
      </c>
      <c r="D98" s="7">
        <v>76</v>
      </c>
      <c r="E98" s="6">
        <v>76</v>
      </c>
      <c r="F98" s="9">
        <v>4</v>
      </c>
      <c r="G98" s="7"/>
    </row>
    <row r="99" spans="1:7" ht="15" customHeight="1">
      <c r="A99" s="7" t="str">
        <f>"李阳"</f>
        <v>李阳</v>
      </c>
      <c r="B99" s="7">
        <v>20190410</v>
      </c>
      <c r="C99" s="7" t="s">
        <v>17</v>
      </c>
      <c r="D99" s="7">
        <v>74.5</v>
      </c>
      <c r="E99" s="6">
        <v>74.5</v>
      </c>
      <c r="F99" s="5">
        <v>5</v>
      </c>
      <c r="G99" s="7"/>
    </row>
    <row r="100" spans="1:7" ht="15" customHeight="1">
      <c r="A100" s="7" t="str">
        <f>"吕锦锦"</f>
        <v>吕锦锦</v>
      </c>
      <c r="B100" s="7">
        <v>20190407</v>
      </c>
      <c r="C100" s="7" t="s">
        <v>17</v>
      </c>
      <c r="D100" s="7">
        <v>72</v>
      </c>
      <c r="E100" s="6">
        <v>72</v>
      </c>
      <c r="F100" s="9">
        <v>6</v>
      </c>
      <c r="G100" s="7"/>
    </row>
    <row r="101" spans="1:7" ht="15" customHeight="1">
      <c r="A101" s="7" t="str">
        <f>"李任晓"</f>
        <v>李任晓</v>
      </c>
      <c r="B101" s="7">
        <v>20190404</v>
      </c>
      <c r="C101" s="7" t="s">
        <v>17</v>
      </c>
      <c r="D101" s="7">
        <v>0</v>
      </c>
      <c r="E101" s="6">
        <v>0</v>
      </c>
      <c r="F101" s="5"/>
      <c r="G101" s="7" t="s">
        <v>0</v>
      </c>
    </row>
    <row r="102" spans="1:7" ht="15" customHeight="1">
      <c r="A102" s="7" t="str">
        <f>"李世平"</f>
        <v>李世平</v>
      </c>
      <c r="B102" s="7">
        <v>20190413</v>
      </c>
      <c r="C102" s="7" t="s">
        <v>16</v>
      </c>
      <c r="D102" s="7">
        <v>82.5</v>
      </c>
      <c r="E102" s="6">
        <v>82.5</v>
      </c>
      <c r="F102" s="5">
        <v>1</v>
      </c>
      <c r="G102" s="7"/>
    </row>
    <row r="103" spans="1:7" ht="15" customHeight="1">
      <c r="A103" s="7" t="str">
        <f>"田利广"</f>
        <v>田利广</v>
      </c>
      <c r="B103" s="7">
        <v>20190412</v>
      </c>
      <c r="C103" s="7" t="s">
        <v>16</v>
      </c>
      <c r="D103" s="7">
        <v>79.5</v>
      </c>
      <c r="E103" s="6">
        <v>79.5</v>
      </c>
      <c r="F103" s="5">
        <v>2</v>
      </c>
      <c r="G103" s="7"/>
    </row>
    <row r="104" spans="1:7" ht="15" customHeight="1">
      <c r="A104" s="7" t="str">
        <f>"闫黎明"</f>
        <v>闫黎明</v>
      </c>
      <c r="B104" s="7">
        <v>20190411</v>
      </c>
      <c r="C104" s="7" t="s">
        <v>16</v>
      </c>
      <c r="D104" s="7">
        <v>72.5</v>
      </c>
      <c r="E104" s="6">
        <v>72.5</v>
      </c>
      <c r="F104" s="5">
        <v>3</v>
      </c>
      <c r="G104" s="7"/>
    </row>
    <row r="105" spans="1:7" ht="15" customHeight="1">
      <c r="A105" s="7" t="str">
        <f>"吕佳"</f>
        <v>吕佳</v>
      </c>
      <c r="B105" s="7">
        <v>20190416</v>
      </c>
      <c r="C105" s="7" t="s">
        <v>15</v>
      </c>
      <c r="D105" s="7">
        <v>76.5</v>
      </c>
      <c r="E105" s="6">
        <v>76.5</v>
      </c>
      <c r="F105" s="5">
        <v>1</v>
      </c>
      <c r="G105" s="7"/>
    </row>
    <row r="106" spans="1:7" ht="15" customHeight="1">
      <c r="A106" s="7" t="str">
        <f>"高欢"</f>
        <v>高欢</v>
      </c>
      <c r="B106" s="7">
        <v>20190415</v>
      </c>
      <c r="C106" s="7" t="s">
        <v>15</v>
      </c>
      <c r="D106" s="7">
        <v>75</v>
      </c>
      <c r="E106" s="6">
        <v>75</v>
      </c>
      <c r="F106" s="5">
        <v>2</v>
      </c>
      <c r="G106" s="7"/>
    </row>
    <row r="107" spans="1:7" ht="15" customHeight="1">
      <c r="A107" s="7" t="str">
        <f>"朱叶"</f>
        <v>朱叶</v>
      </c>
      <c r="B107" s="7">
        <v>20190417</v>
      </c>
      <c r="C107" s="7" t="s">
        <v>15</v>
      </c>
      <c r="D107" s="7">
        <v>72.5</v>
      </c>
      <c r="E107" s="6">
        <v>72.5</v>
      </c>
      <c r="F107" s="5">
        <v>3</v>
      </c>
      <c r="G107" s="7"/>
    </row>
    <row r="108" spans="1:7" ht="15" customHeight="1">
      <c r="A108" s="7" t="str">
        <f>"张伟梦"</f>
        <v>张伟梦</v>
      </c>
      <c r="B108" s="7">
        <v>20190414</v>
      </c>
      <c r="C108" s="7" t="s">
        <v>15</v>
      </c>
      <c r="D108" s="7">
        <v>70</v>
      </c>
      <c r="E108" s="6">
        <v>70</v>
      </c>
      <c r="F108" s="5">
        <v>4</v>
      </c>
      <c r="G108" s="7"/>
    </row>
    <row r="109" spans="1:7" ht="15" customHeight="1">
      <c r="A109" s="7" t="str">
        <f>"程静毅"</f>
        <v>程静毅</v>
      </c>
      <c r="B109" s="7">
        <v>20190916</v>
      </c>
      <c r="C109" s="7" t="s">
        <v>14</v>
      </c>
      <c r="D109" s="7">
        <v>88</v>
      </c>
      <c r="E109" s="6">
        <v>88</v>
      </c>
      <c r="F109" s="5">
        <f t="shared" ref="F109:F172" si="3">_xlfn.RANK.EQ(E109,$E$109:$E$313)</f>
        <v>1</v>
      </c>
      <c r="G109" s="7"/>
    </row>
    <row r="110" spans="1:7" ht="15" customHeight="1">
      <c r="A110" s="7" t="str">
        <f>"陈玉珠"</f>
        <v>陈玉珠</v>
      </c>
      <c r="B110" s="7">
        <v>20191006</v>
      </c>
      <c r="C110" s="7" t="s">
        <v>14</v>
      </c>
      <c r="D110" s="7">
        <v>86</v>
      </c>
      <c r="E110" s="6">
        <v>86</v>
      </c>
      <c r="F110" s="5">
        <f t="shared" si="3"/>
        <v>2</v>
      </c>
      <c r="G110" s="7"/>
    </row>
    <row r="111" spans="1:7" ht="15" customHeight="1">
      <c r="A111" s="7" t="str">
        <f>"刘雅倩"</f>
        <v>刘雅倩</v>
      </c>
      <c r="B111" s="7">
        <v>20190816</v>
      </c>
      <c r="C111" s="7" t="s">
        <v>14</v>
      </c>
      <c r="D111" s="7">
        <v>85.5</v>
      </c>
      <c r="E111" s="6">
        <v>85.5</v>
      </c>
      <c r="F111" s="5">
        <f t="shared" si="3"/>
        <v>3</v>
      </c>
      <c r="G111" s="7"/>
    </row>
    <row r="112" spans="1:7" ht="15" customHeight="1">
      <c r="A112" s="7" t="str">
        <f>"井阳阳"</f>
        <v>井阳阳</v>
      </c>
      <c r="B112" s="7">
        <v>20191120</v>
      </c>
      <c r="C112" s="7" t="s">
        <v>14</v>
      </c>
      <c r="D112" s="7">
        <v>85.5</v>
      </c>
      <c r="E112" s="6">
        <v>85.5</v>
      </c>
      <c r="F112" s="5">
        <f t="shared" si="3"/>
        <v>3</v>
      </c>
      <c r="G112" s="7"/>
    </row>
    <row r="113" spans="1:7" ht="15" customHeight="1">
      <c r="A113" s="7" t="str">
        <f>"王培颖"</f>
        <v>王培颖</v>
      </c>
      <c r="B113" s="7">
        <v>20190917</v>
      </c>
      <c r="C113" s="7" t="s">
        <v>14</v>
      </c>
      <c r="D113" s="7">
        <v>85</v>
      </c>
      <c r="E113" s="6">
        <v>85</v>
      </c>
      <c r="F113" s="5">
        <f t="shared" si="3"/>
        <v>5</v>
      </c>
      <c r="G113" s="7"/>
    </row>
    <row r="114" spans="1:7" ht="15" customHeight="1">
      <c r="A114" s="7" t="str">
        <f>"段纯洁"</f>
        <v>段纯洁</v>
      </c>
      <c r="B114" s="7">
        <v>20191017</v>
      </c>
      <c r="C114" s="7" t="s">
        <v>14</v>
      </c>
      <c r="D114" s="7">
        <v>84.5</v>
      </c>
      <c r="E114" s="6">
        <v>84.5</v>
      </c>
      <c r="F114" s="5">
        <f t="shared" si="3"/>
        <v>6</v>
      </c>
      <c r="G114" s="7"/>
    </row>
    <row r="115" spans="1:7" ht="15" customHeight="1">
      <c r="A115" s="7" t="str">
        <f>"江晓"</f>
        <v>江晓</v>
      </c>
      <c r="B115" s="7">
        <v>20190702</v>
      </c>
      <c r="C115" s="7" t="s">
        <v>14</v>
      </c>
      <c r="D115" s="7">
        <v>83.5</v>
      </c>
      <c r="E115" s="6">
        <v>83.5</v>
      </c>
      <c r="F115" s="5">
        <f t="shared" si="3"/>
        <v>7</v>
      </c>
      <c r="G115" s="7"/>
    </row>
    <row r="116" spans="1:7" ht="15" customHeight="1">
      <c r="A116" s="7" t="str">
        <f>"王晶"</f>
        <v>王晶</v>
      </c>
      <c r="B116" s="7">
        <v>20190502</v>
      </c>
      <c r="C116" s="7" t="s">
        <v>14</v>
      </c>
      <c r="D116" s="7">
        <v>82.5</v>
      </c>
      <c r="E116" s="6">
        <v>82.5</v>
      </c>
      <c r="F116" s="5">
        <f t="shared" si="3"/>
        <v>8</v>
      </c>
      <c r="G116" s="7"/>
    </row>
    <row r="117" spans="1:7" ht="15" customHeight="1">
      <c r="A117" s="7" t="str">
        <f>"蔺丹"</f>
        <v>蔺丹</v>
      </c>
      <c r="B117" s="7">
        <v>20190504</v>
      </c>
      <c r="C117" s="7" t="s">
        <v>14</v>
      </c>
      <c r="D117" s="7">
        <v>81.5</v>
      </c>
      <c r="E117" s="6">
        <v>81.5</v>
      </c>
      <c r="F117" s="5">
        <f t="shared" si="3"/>
        <v>9</v>
      </c>
      <c r="G117" s="7"/>
    </row>
    <row r="118" spans="1:7" ht="15" customHeight="1">
      <c r="A118" s="7" t="str">
        <f>"李莹"</f>
        <v>李莹</v>
      </c>
      <c r="B118" s="7">
        <v>20190814</v>
      </c>
      <c r="C118" s="7" t="s">
        <v>14</v>
      </c>
      <c r="D118" s="7">
        <v>81.5</v>
      </c>
      <c r="E118" s="6">
        <v>81.5</v>
      </c>
      <c r="F118" s="5">
        <f t="shared" si="3"/>
        <v>9</v>
      </c>
      <c r="G118" s="7"/>
    </row>
    <row r="119" spans="1:7" ht="15" customHeight="1">
      <c r="A119" s="7" t="str">
        <f>"彭欣"</f>
        <v>彭欣</v>
      </c>
      <c r="B119" s="7">
        <v>20191113</v>
      </c>
      <c r="C119" s="7" t="s">
        <v>14</v>
      </c>
      <c r="D119" s="7">
        <v>81.5</v>
      </c>
      <c r="E119" s="6">
        <v>81.5</v>
      </c>
      <c r="F119" s="5">
        <f t="shared" si="3"/>
        <v>9</v>
      </c>
      <c r="G119" s="7"/>
    </row>
    <row r="120" spans="1:7" ht="15" customHeight="1">
      <c r="A120" s="7" t="str">
        <f>"杨雅楠"</f>
        <v>杨雅楠</v>
      </c>
      <c r="B120" s="7">
        <v>20190605</v>
      </c>
      <c r="C120" s="7" t="s">
        <v>14</v>
      </c>
      <c r="D120" s="7">
        <v>81</v>
      </c>
      <c r="E120" s="6">
        <v>81</v>
      </c>
      <c r="F120" s="5">
        <f t="shared" si="3"/>
        <v>12</v>
      </c>
      <c r="G120" s="7"/>
    </row>
    <row r="121" spans="1:7" ht="15" customHeight="1">
      <c r="A121" s="7" t="str">
        <f>"张姣"</f>
        <v>张姣</v>
      </c>
      <c r="B121" s="7">
        <v>20190617</v>
      </c>
      <c r="C121" s="7" t="s">
        <v>14</v>
      </c>
      <c r="D121" s="7">
        <v>81</v>
      </c>
      <c r="E121" s="6">
        <v>81</v>
      </c>
      <c r="F121" s="5">
        <f t="shared" si="3"/>
        <v>12</v>
      </c>
      <c r="G121" s="7"/>
    </row>
    <row r="122" spans="1:7" ht="15" customHeight="1">
      <c r="A122" s="7" t="str">
        <f>"陈阳阳"</f>
        <v>陈阳阳</v>
      </c>
      <c r="B122" s="7">
        <v>20190722</v>
      </c>
      <c r="C122" s="7" t="s">
        <v>14</v>
      </c>
      <c r="D122" s="7">
        <v>81</v>
      </c>
      <c r="E122" s="6">
        <v>81</v>
      </c>
      <c r="F122" s="5">
        <f t="shared" si="3"/>
        <v>12</v>
      </c>
      <c r="G122" s="7"/>
    </row>
    <row r="123" spans="1:7" ht="15" customHeight="1">
      <c r="A123" s="7" t="str">
        <f>"詹梦瑶"</f>
        <v>詹梦瑶</v>
      </c>
      <c r="B123" s="7">
        <v>20191002</v>
      </c>
      <c r="C123" s="7" t="s">
        <v>14</v>
      </c>
      <c r="D123" s="7">
        <v>81</v>
      </c>
      <c r="E123" s="6">
        <v>81</v>
      </c>
      <c r="F123" s="5">
        <f t="shared" si="3"/>
        <v>12</v>
      </c>
      <c r="G123" s="7"/>
    </row>
    <row r="124" spans="1:7" ht="15" customHeight="1">
      <c r="A124" s="7" t="str">
        <f>"李姗"</f>
        <v>李姗</v>
      </c>
      <c r="B124" s="7">
        <v>20191123</v>
      </c>
      <c r="C124" s="7" t="s">
        <v>14</v>
      </c>
      <c r="D124" s="7">
        <v>81</v>
      </c>
      <c r="E124" s="6">
        <v>81</v>
      </c>
      <c r="F124" s="5">
        <f t="shared" si="3"/>
        <v>12</v>
      </c>
      <c r="G124" s="7"/>
    </row>
    <row r="125" spans="1:7" ht="15" customHeight="1">
      <c r="A125" s="7" t="str">
        <f>"李依莎"</f>
        <v>李依莎</v>
      </c>
      <c r="B125" s="7">
        <v>20190507</v>
      </c>
      <c r="C125" s="7" t="s">
        <v>14</v>
      </c>
      <c r="D125" s="7">
        <v>80.5</v>
      </c>
      <c r="E125" s="6">
        <v>80.5</v>
      </c>
      <c r="F125" s="5">
        <f t="shared" si="3"/>
        <v>17</v>
      </c>
      <c r="G125" s="7"/>
    </row>
    <row r="126" spans="1:7" ht="15" customHeight="1">
      <c r="A126" s="7" t="str">
        <f>"付雨薇"</f>
        <v>付雨薇</v>
      </c>
      <c r="B126" s="7">
        <v>20190708</v>
      </c>
      <c r="C126" s="7" t="s">
        <v>14</v>
      </c>
      <c r="D126" s="7">
        <v>80.5</v>
      </c>
      <c r="E126" s="6">
        <v>80.5</v>
      </c>
      <c r="F126" s="5">
        <f t="shared" si="3"/>
        <v>17</v>
      </c>
      <c r="G126" s="7"/>
    </row>
    <row r="127" spans="1:7" ht="15" customHeight="1">
      <c r="A127" s="7" t="str">
        <f>"王义强"</f>
        <v>王义强</v>
      </c>
      <c r="B127" s="7">
        <v>20190819</v>
      </c>
      <c r="C127" s="7" t="s">
        <v>14</v>
      </c>
      <c r="D127" s="7">
        <v>80.5</v>
      </c>
      <c r="E127" s="6">
        <v>80.5</v>
      </c>
      <c r="F127" s="5">
        <f t="shared" si="3"/>
        <v>17</v>
      </c>
      <c r="G127" s="7"/>
    </row>
    <row r="128" spans="1:7" ht="15" customHeight="1">
      <c r="A128" s="7" t="str">
        <f>"戚春雨"</f>
        <v>戚春雨</v>
      </c>
      <c r="B128" s="7">
        <v>20190908</v>
      </c>
      <c r="C128" s="7" t="s">
        <v>14</v>
      </c>
      <c r="D128" s="7">
        <v>80.5</v>
      </c>
      <c r="E128" s="6">
        <v>80.5</v>
      </c>
      <c r="F128" s="5">
        <f t="shared" si="3"/>
        <v>17</v>
      </c>
      <c r="G128" s="7"/>
    </row>
    <row r="129" spans="1:7" ht="15" customHeight="1">
      <c r="A129" s="7" t="str">
        <f>"郑婷"</f>
        <v>郑婷</v>
      </c>
      <c r="B129" s="7">
        <v>20191008</v>
      </c>
      <c r="C129" s="7" t="s">
        <v>14</v>
      </c>
      <c r="D129" s="7">
        <v>80.5</v>
      </c>
      <c r="E129" s="6">
        <v>80.5</v>
      </c>
      <c r="F129" s="5">
        <f t="shared" si="3"/>
        <v>17</v>
      </c>
      <c r="G129" s="7"/>
    </row>
    <row r="130" spans="1:7" ht="15" customHeight="1">
      <c r="A130" s="7" t="str">
        <f>"聂田甜"</f>
        <v>聂田甜</v>
      </c>
      <c r="B130" s="7">
        <v>20191021</v>
      </c>
      <c r="C130" s="7" t="s">
        <v>14</v>
      </c>
      <c r="D130" s="7">
        <v>80.5</v>
      </c>
      <c r="E130" s="6">
        <v>80.5</v>
      </c>
      <c r="F130" s="5">
        <f t="shared" si="3"/>
        <v>17</v>
      </c>
      <c r="G130" s="7"/>
    </row>
    <row r="131" spans="1:7" ht="15" customHeight="1">
      <c r="A131" s="7" t="str">
        <f>"胡慧"</f>
        <v>胡慧</v>
      </c>
      <c r="B131" s="7">
        <v>20191129</v>
      </c>
      <c r="C131" s="7" t="s">
        <v>14</v>
      </c>
      <c r="D131" s="7">
        <v>80.5</v>
      </c>
      <c r="E131" s="6">
        <v>80.5</v>
      </c>
      <c r="F131" s="5">
        <f t="shared" si="3"/>
        <v>17</v>
      </c>
      <c r="G131" s="7"/>
    </row>
    <row r="132" spans="1:7" ht="15" customHeight="1">
      <c r="A132" s="7" t="str">
        <f>"焦阳"</f>
        <v>焦阳</v>
      </c>
      <c r="B132" s="7">
        <v>20190725</v>
      </c>
      <c r="C132" s="7" t="s">
        <v>14</v>
      </c>
      <c r="D132" s="7">
        <v>80</v>
      </c>
      <c r="E132" s="6">
        <v>80</v>
      </c>
      <c r="F132" s="5">
        <f t="shared" si="3"/>
        <v>24</v>
      </c>
      <c r="G132" s="7"/>
    </row>
    <row r="133" spans="1:7" ht="15" customHeight="1">
      <c r="A133" s="7" t="str">
        <f>"李艳丰"</f>
        <v>李艳丰</v>
      </c>
      <c r="B133" s="7">
        <v>20190907</v>
      </c>
      <c r="C133" s="7" t="s">
        <v>14</v>
      </c>
      <c r="D133" s="7">
        <v>80</v>
      </c>
      <c r="E133" s="6">
        <v>80</v>
      </c>
      <c r="F133" s="5">
        <f t="shared" si="3"/>
        <v>24</v>
      </c>
      <c r="G133" s="7"/>
    </row>
    <row r="134" spans="1:7" ht="15" customHeight="1">
      <c r="A134" s="7" t="str">
        <f>"赵倩"</f>
        <v>赵倩</v>
      </c>
      <c r="B134" s="7">
        <v>20191022</v>
      </c>
      <c r="C134" s="7" t="s">
        <v>14</v>
      </c>
      <c r="D134" s="7">
        <v>80</v>
      </c>
      <c r="E134" s="6">
        <v>80</v>
      </c>
      <c r="F134" s="5">
        <f t="shared" si="3"/>
        <v>24</v>
      </c>
      <c r="G134" s="7"/>
    </row>
    <row r="135" spans="1:7" ht="15" customHeight="1">
      <c r="A135" s="7" t="str">
        <f>"刘鑫鑫"</f>
        <v>刘鑫鑫</v>
      </c>
      <c r="B135" s="7">
        <v>20190518</v>
      </c>
      <c r="C135" s="7" t="s">
        <v>14</v>
      </c>
      <c r="D135" s="7">
        <v>79.5</v>
      </c>
      <c r="E135" s="6">
        <v>79.5</v>
      </c>
      <c r="F135" s="5">
        <f t="shared" si="3"/>
        <v>27</v>
      </c>
      <c r="G135" s="7"/>
    </row>
    <row r="136" spans="1:7" ht="15" customHeight="1">
      <c r="A136" s="7" t="str">
        <f>"张佳玺"</f>
        <v>张佳玺</v>
      </c>
      <c r="B136" s="7">
        <v>20190809</v>
      </c>
      <c r="C136" s="7" t="s">
        <v>14</v>
      </c>
      <c r="D136" s="7">
        <v>79.5</v>
      </c>
      <c r="E136" s="6">
        <v>79.5</v>
      </c>
      <c r="F136" s="5">
        <f t="shared" si="3"/>
        <v>27</v>
      </c>
      <c r="G136" s="7"/>
    </row>
    <row r="137" spans="1:7" ht="15" customHeight="1">
      <c r="A137" s="7" t="str">
        <f>"文丽瑞"</f>
        <v>文丽瑞</v>
      </c>
      <c r="B137" s="7">
        <v>20190924</v>
      </c>
      <c r="C137" s="7" t="s">
        <v>14</v>
      </c>
      <c r="D137" s="7">
        <v>79.5</v>
      </c>
      <c r="E137" s="6">
        <v>79.5</v>
      </c>
      <c r="F137" s="5">
        <f t="shared" si="3"/>
        <v>27</v>
      </c>
      <c r="G137" s="7"/>
    </row>
    <row r="138" spans="1:7" ht="15" customHeight="1">
      <c r="A138" s="7" t="str">
        <f>"李朦迪"</f>
        <v>李朦迪</v>
      </c>
      <c r="B138" s="7">
        <v>20191016</v>
      </c>
      <c r="C138" s="7" t="s">
        <v>14</v>
      </c>
      <c r="D138" s="7">
        <v>79.5</v>
      </c>
      <c r="E138" s="6">
        <v>79.5</v>
      </c>
      <c r="F138" s="5">
        <f t="shared" si="3"/>
        <v>27</v>
      </c>
      <c r="G138" s="7"/>
    </row>
    <row r="139" spans="1:7" ht="15" customHeight="1">
      <c r="A139" s="7" t="str">
        <f>"钟亚平"</f>
        <v>钟亚平</v>
      </c>
      <c r="B139" s="7">
        <v>20190616</v>
      </c>
      <c r="C139" s="7" t="s">
        <v>14</v>
      </c>
      <c r="D139" s="7">
        <v>79</v>
      </c>
      <c r="E139" s="6">
        <v>79</v>
      </c>
      <c r="F139" s="5">
        <f t="shared" si="3"/>
        <v>31</v>
      </c>
      <c r="G139" s="7"/>
    </row>
    <row r="140" spans="1:7" ht="15" customHeight="1">
      <c r="A140" s="7" t="str">
        <f>"张可"</f>
        <v>张可</v>
      </c>
      <c r="B140" s="7">
        <v>20190622</v>
      </c>
      <c r="C140" s="7" t="s">
        <v>14</v>
      </c>
      <c r="D140" s="7">
        <v>79</v>
      </c>
      <c r="E140" s="6">
        <v>79</v>
      </c>
      <c r="F140" s="5">
        <f t="shared" si="3"/>
        <v>31</v>
      </c>
      <c r="G140" s="7"/>
    </row>
    <row r="141" spans="1:7" ht="15" customHeight="1">
      <c r="A141" s="7" t="str">
        <f>"李双"</f>
        <v>李双</v>
      </c>
      <c r="B141" s="7">
        <v>20190712</v>
      </c>
      <c r="C141" s="7" t="s">
        <v>14</v>
      </c>
      <c r="D141" s="7">
        <v>79</v>
      </c>
      <c r="E141" s="6">
        <v>79</v>
      </c>
      <c r="F141" s="5">
        <f t="shared" si="3"/>
        <v>31</v>
      </c>
      <c r="G141" s="7"/>
    </row>
    <row r="142" spans="1:7" ht="15" customHeight="1">
      <c r="A142" s="7" t="str">
        <f>"马云萍"</f>
        <v>马云萍</v>
      </c>
      <c r="B142" s="7">
        <v>20190718</v>
      </c>
      <c r="C142" s="7" t="s">
        <v>14</v>
      </c>
      <c r="D142" s="7">
        <v>79</v>
      </c>
      <c r="E142" s="6">
        <v>79</v>
      </c>
      <c r="F142" s="5">
        <f t="shared" si="3"/>
        <v>31</v>
      </c>
      <c r="G142" s="7"/>
    </row>
    <row r="143" spans="1:7" ht="15" customHeight="1">
      <c r="A143" s="7" t="str">
        <f>"周娜"</f>
        <v>周娜</v>
      </c>
      <c r="B143" s="7">
        <v>20190818</v>
      </c>
      <c r="C143" s="7" t="s">
        <v>14</v>
      </c>
      <c r="D143" s="7">
        <v>79</v>
      </c>
      <c r="E143" s="6">
        <v>79</v>
      </c>
      <c r="F143" s="5">
        <f t="shared" si="3"/>
        <v>31</v>
      </c>
      <c r="G143" s="7"/>
    </row>
    <row r="144" spans="1:7" ht="15" customHeight="1">
      <c r="A144" s="7" t="str">
        <f>"曹品婷"</f>
        <v>曹品婷</v>
      </c>
      <c r="B144" s="7">
        <v>20190822</v>
      </c>
      <c r="C144" s="7" t="s">
        <v>14</v>
      </c>
      <c r="D144" s="7">
        <v>79</v>
      </c>
      <c r="E144" s="6">
        <v>79</v>
      </c>
      <c r="F144" s="5">
        <f t="shared" si="3"/>
        <v>31</v>
      </c>
      <c r="G144" s="7"/>
    </row>
    <row r="145" spans="1:7" ht="15" customHeight="1">
      <c r="A145" s="7" t="str">
        <f>"吴小可"</f>
        <v>吴小可</v>
      </c>
      <c r="B145" s="7">
        <v>20190827</v>
      </c>
      <c r="C145" s="7" t="s">
        <v>14</v>
      </c>
      <c r="D145" s="7">
        <v>79</v>
      </c>
      <c r="E145" s="6">
        <v>79</v>
      </c>
      <c r="F145" s="5">
        <f t="shared" si="3"/>
        <v>31</v>
      </c>
      <c r="G145" s="7"/>
    </row>
    <row r="146" spans="1:7" ht="15" customHeight="1">
      <c r="A146" s="11" t="str">
        <f>"曹婷婷"</f>
        <v>曹婷婷</v>
      </c>
      <c r="B146" s="11">
        <v>20191007</v>
      </c>
      <c r="C146" s="11" t="s">
        <v>14</v>
      </c>
      <c r="D146" s="11">
        <v>79</v>
      </c>
      <c r="E146" s="10">
        <v>79</v>
      </c>
      <c r="F146" s="5">
        <f t="shared" si="3"/>
        <v>31</v>
      </c>
      <c r="G146" s="11"/>
    </row>
    <row r="147" spans="1:7" ht="15" customHeight="1">
      <c r="A147" s="7" t="str">
        <f>"李梦莎"</f>
        <v>李梦莎</v>
      </c>
      <c r="B147" s="7">
        <v>20191025</v>
      </c>
      <c r="C147" s="7" t="s">
        <v>14</v>
      </c>
      <c r="D147" s="7">
        <v>79</v>
      </c>
      <c r="E147" s="6">
        <v>79</v>
      </c>
      <c r="F147" s="5">
        <f t="shared" si="3"/>
        <v>31</v>
      </c>
      <c r="G147" s="7"/>
    </row>
    <row r="148" spans="1:7" ht="15" customHeight="1">
      <c r="A148" s="7" t="str">
        <f>"王丹平"</f>
        <v>王丹平</v>
      </c>
      <c r="B148" s="7">
        <v>20190826</v>
      </c>
      <c r="C148" s="7" t="s">
        <v>14</v>
      </c>
      <c r="D148" s="7">
        <v>78.5</v>
      </c>
      <c r="E148" s="6">
        <v>78.5</v>
      </c>
      <c r="F148" s="5">
        <f t="shared" si="3"/>
        <v>40</v>
      </c>
      <c r="G148" s="7"/>
    </row>
    <row r="149" spans="1:7" ht="15" customHeight="1">
      <c r="A149" s="7" t="str">
        <f>"杨静怡"</f>
        <v>杨静怡</v>
      </c>
      <c r="B149" s="7">
        <v>20190915</v>
      </c>
      <c r="C149" s="7" t="s">
        <v>14</v>
      </c>
      <c r="D149" s="7">
        <v>78.5</v>
      </c>
      <c r="E149" s="6">
        <v>78.5</v>
      </c>
      <c r="F149" s="5">
        <f t="shared" si="3"/>
        <v>40</v>
      </c>
      <c r="G149" s="7"/>
    </row>
    <row r="150" spans="1:7" ht="15" customHeight="1">
      <c r="A150" s="7" t="str">
        <f>"陈晴"</f>
        <v>陈晴</v>
      </c>
      <c r="B150" s="7">
        <v>20191108</v>
      </c>
      <c r="C150" s="7" t="s">
        <v>14</v>
      </c>
      <c r="D150" s="7">
        <v>78.5</v>
      </c>
      <c r="E150" s="6">
        <v>78.5</v>
      </c>
      <c r="F150" s="5">
        <f t="shared" si="3"/>
        <v>40</v>
      </c>
      <c r="G150" s="7"/>
    </row>
    <row r="151" spans="1:7" ht="15" customHeight="1">
      <c r="A151" s="7" t="str">
        <f>"樊晓彤"</f>
        <v>樊晓彤</v>
      </c>
      <c r="B151" s="7">
        <v>20190511</v>
      </c>
      <c r="C151" s="7" t="s">
        <v>14</v>
      </c>
      <c r="D151" s="7">
        <v>78</v>
      </c>
      <c r="E151" s="6">
        <v>78</v>
      </c>
      <c r="F151" s="5">
        <f t="shared" si="3"/>
        <v>43</v>
      </c>
      <c r="G151" s="7"/>
    </row>
    <row r="152" spans="1:7" ht="15" customHeight="1">
      <c r="A152" s="7" t="str">
        <f>"史素荣"</f>
        <v>史素荣</v>
      </c>
      <c r="B152" s="7">
        <v>20190515</v>
      </c>
      <c r="C152" s="7" t="s">
        <v>14</v>
      </c>
      <c r="D152" s="7">
        <v>78</v>
      </c>
      <c r="E152" s="6">
        <v>78</v>
      </c>
      <c r="F152" s="5">
        <f t="shared" si="3"/>
        <v>43</v>
      </c>
      <c r="G152" s="7"/>
    </row>
    <row r="153" spans="1:7" ht="15" customHeight="1">
      <c r="A153" s="7" t="str">
        <f>"赵婉娣"</f>
        <v>赵婉娣</v>
      </c>
      <c r="B153" s="7">
        <v>20190526</v>
      </c>
      <c r="C153" s="7" t="s">
        <v>14</v>
      </c>
      <c r="D153" s="7">
        <v>78</v>
      </c>
      <c r="E153" s="6">
        <v>78</v>
      </c>
      <c r="F153" s="5">
        <f t="shared" si="3"/>
        <v>43</v>
      </c>
      <c r="G153" s="7"/>
    </row>
    <row r="154" spans="1:7" ht="15" customHeight="1">
      <c r="A154" s="7" t="str">
        <f>"熊斐"</f>
        <v>熊斐</v>
      </c>
      <c r="B154" s="7">
        <v>20190528</v>
      </c>
      <c r="C154" s="7" t="s">
        <v>14</v>
      </c>
      <c r="D154" s="7">
        <v>78</v>
      </c>
      <c r="E154" s="6">
        <v>78</v>
      </c>
      <c r="F154" s="5">
        <f t="shared" si="3"/>
        <v>43</v>
      </c>
      <c r="G154" s="7"/>
    </row>
    <row r="155" spans="1:7" ht="15" customHeight="1">
      <c r="A155" s="7" t="str">
        <f>"魏翠"</f>
        <v>魏翠</v>
      </c>
      <c r="B155" s="7">
        <v>20190709</v>
      </c>
      <c r="C155" s="7" t="s">
        <v>14</v>
      </c>
      <c r="D155" s="7">
        <v>78</v>
      </c>
      <c r="E155" s="6">
        <v>78</v>
      </c>
      <c r="F155" s="5">
        <f t="shared" si="3"/>
        <v>43</v>
      </c>
      <c r="G155" s="7"/>
    </row>
    <row r="156" spans="1:7" ht="15" customHeight="1">
      <c r="A156" s="7" t="str">
        <f>"张志秀"</f>
        <v>张志秀</v>
      </c>
      <c r="B156" s="7">
        <v>20190911</v>
      </c>
      <c r="C156" s="7" t="s">
        <v>14</v>
      </c>
      <c r="D156" s="7">
        <v>78</v>
      </c>
      <c r="E156" s="6">
        <v>78</v>
      </c>
      <c r="F156" s="5">
        <f t="shared" si="3"/>
        <v>43</v>
      </c>
      <c r="G156" s="7"/>
    </row>
    <row r="157" spans="1:7" ht="15" customHeight="1">
      <c r="A157" s="7" t="str">
        <f>"冯亚东"</f>
        <v>冯亚东</v>
      </c>
      <c r="B157" s="7">
        <v>20191024</v>
      </c>
      <c r="C157" s="7" t="s">
        <v>14</v>
      </c>
      <c r="D157" s="7">
        <v>78</v>
      </c>
      <c r="E157" s="6">
        <v>78</v>
      </c>
      <c r="F157" s="5">
        <f t="shared" si="3"/>
        <v>43</v>
      </c>
      <c r="G157" s="7"/>
    </row>
    <row r="158" spans="1:7" ht="15" customHeight="1">
      <c r="A158" s="7" t="str">
        <f>"郭迪"</f>
        <v>郭迪</v>
      </c>
      <c r="B158" s="7">
        <v>20191205</v>
      </c>
      <c r="C158" s="7" t="s">
        <v>14</v>
      </c>
      <c r="D158" s="7">
        <v>78</v>
      </c>
      <c r="E158" s="6">
        <v>78</v>
      </c>
      <c r="F158" s="5">
        <f t="shared" si="3"/>
        <v>43</v>
      </c>
      <c r="G158" s="7"/>
    </row>
    <row r="159" spans="1:7" ht="15" customHeight="1">
      <c r="A159" s="7" t="str">
        <f>"范媛媛"</f>
        <v>范媛媛</v>
      </c>
      <c r="B159" s="7">
        <v>20190627</v>
      </c>
      <c r="C159" s="7" t="s">
        <v>14</v>
      </c>
      <c r="D159" s="7">
        <v>77.5</v>
      </c>
      <c r="E159" s="6">
        <v>77.5</v>
      </c>
      <c r="F159" s="5">
        <f t="shared" si="3"/>
        <v>51</v>
      </c>
      <c r="G159" s="7"/>
    </row>
    <row r="160" spans="1:7" ht="15" customHeight="1">
      <c r="A160" s="7" t="str">
        <f>"赵珂"</f>
        <v>赵珂</v>
      </c>
      <c r="B160" s="7">
        <v>20190815</v>
      </c>
      <c r="C160" s="7" t="s">
        <v>14</v>
      </c>
      <c r="D160" s="7">
        <v>77.5</v>
      </c>
      <c r="E160" s="6">
        <v>77.5</v>
      </c>
      <c r="F160" s="5">
        <f t="shared" si="3"/>
        <v>51</v>
      </c>
      <c r="G160" s="7"/>
    </row>
    <row r="161" spans="1:7" ht="15" customHeight="1">
      <c r="A161" s="7" t="str">
        <f>"盖旭红"</f>
        <v>盖旭红</v>
      </c>
      <c r="B161" s="7">
        <v>20190921</v>
      </c>
      <c r="C161" s="7" t="s">
        <v>14</v>
      </c>
      <c r="D161" s="7">
        <v>77.5</v>
      </c>
      <c r="E161" s="6">
        <v>77.5</v>
      </c>
      <c r="F161" s="5">
        <f t="shared" si="3"/>
        <v>51</v>
      </c>
      <c r="G161" s="7"/>
    </row>
    <row r="162" spans="1:7" ht="15" customHeight="1">
      <c r="A162" s="7" t="str">
        <f>"罗周尹"</f>
        <v>罗周尹</v>
      </c>
      <c r="B162" s="7">
        <v>20191020</v>
      </c>
      <c r="C162" s="7" t="s">
        <v>14</v>
      </c>
      <c r="D162" s="7">
        <v>77.5</v>
      </c>
      <c r="E162" s="6">
        <v>77.5</v>
      </c>
      <c r="F162" s="5">
        <f t="shared" si="3"/>
        <v>51</v>
      </c>
      <c r="G162" s="7"/>
    </row>
    <row r="163" spans="1:7" ht="15" customHeight="1">
      <c r="A163" s="7" t="str">
        <f>"刘江"</f>
        <v>刘江</v>
      </c>
      <c r="B163" s="7">
        <v>20191117</v>
      </c>
      <c r="C163" s="7" t="s">
        <v>14</v>
      </c>
      <c r="D163" s="7">
        <v>77.5</v>
      </c>
      <c r="E163" s="6">
        <v>77.5</v>
      </c>
      <c r="F163" s="5">
        <f t="shared" si="3"/>
        <v>51</v>
      </c>
      <c r="G163" s="7"/>
    </row>
    <row r="164" spans="1:7" ht="15" customHeight="1">
      <c r="A164" s="7" t="str">
        <f>"王璇"</f>
        <v>王璇</v>
      </c>
      <c r="B164" s="7">
        <v>20190512</v>
      </c>
      <c r="C164" s="7" t="s">
        <v>14</v>
      </c>
      <c r="D164" s="7">
        <v>77</v>
      </c>
      <c r="E164" s="6">
        <v>77</v>
      </c>
      <c r="F164" s="5">
        <f t="shared" si="3"/>
        <v>56</v>
      </c>
      <c r="G164" s="7"/>
    </row>
    <row r="165" spans="1:7" ht="15" customHeight="1">
      <c r="A165" s="7" t="str">
        <f>"陈鹏珍"</f>
        <v>陈鹏珍</v>
      </c>
      <c r="B165" s="7">
        <v>20190614</v>
      </c>
      <c r="C165" s="7" t="s">
        <v>14</v>
      </c>
      <c r="D165" s="7">
        <v>77</v>
      </c>
      <c r="E165" s="6">
        <v>77</v>
      </c>
      <c r="F165" s="5">
        <f t="shared" si="3"/>
        <v>56</v>
      </c>
      <c r="G165" s="7"/>
    </row>
    <row r="166" spans="1:7" ht="15" customHeight="1">
      <c r="A166" s="7" t="str">
        <f>"梁一玮"</f>
        <v>梁一玮</v>
      </c>
      <c r="B166" s="7">
        <v>20190813</v>
      </c>
      <c r="C166" s="7" t="s">
        <v>14</v>
      </c>
      <c r="D166" s="7">
        <v>77</v>
      </c>
      <c r="E166" s="6">
        <v>77</v>
      </c>
      <c r="F166" s="5">
        <f t="shared" si="3"/>
        <v>56</v>
      </c>
      <c r="G166" s="7"/>
    </row>
    <row r="167" spans="1:7" ht="15" customHeight="1">
      <c r="A167" s="7" t="str">
        <f>"赵艳艳"</f>
        <v>赵艳艳</v>
      </c>
      <c r="B167" s="7">
        <v>20190824</v>
      </c>
      <c r="C167" s="7" t="s">
        <v>14</v>
      </c>
      <c r="D167" s="7">
        <v>77</v>
      </c>
      <c r="E167" s="6">
        <v>77</v>
      </c>
      <c r="F167" s="5">
        <f t="shared" si="3"/>
        <v>56</v>
      </c>
      <c r="G167" s="7"/>
    </row>
    <row r="168" spans="1:7" ht="15" customHeight="1">
      <c r="A168" s="7" t="str">
        <f>"胡可"</f>
        <v>胡可</v>
      </c>
      <c r="B168" s="7">
        <v>20191009</v>
      </c>
      <c r="C168" s="7" t="s">
        <v>14</v>
      </c>
      <c r="D168" s="7">
        <v>77</v>
      </c>
      <c r="E168" s="6">
        <v>77</v>
      </c>
      <c r="F168" s="5">
        <f t="shared" si="3"/>
        <v>56</v>
      </c>
      <c r="G168" s="7"/>
    </row>
    <row r="169" spans="1:7" ht="15" customHeight="1">
      <c r="A169" s="7" t="str">
        <f>"邱堉培"</f>
        <v>邱堉培</v>
      </c>
      <c r="B169" s="7">
        <v>20191015</v>
      </c>
      <c r="C169" s="7" t="s">
        <v>14</v>
      </c>
      <c r="D169" s="7">
        <v>77</v>
      </c>
      <c r="E169" s="6">
        <v>77</v>
      </c>
      <c r="F169" s="5">
        <f t="shared" si="3"/>
        <v>56</v>
      </c>
      <c r="G169" s="7"/>
    </row>
    <row r="170" spans="1:7" ht="15" customHeight="1">
      <c r="A170" s="7" t="str">
        <f>"张春阳"</f>
        <v>张春阳</v>
      </c>
      <c r="B170" s="7">
        <v>20190628</v>
      </c>
      <c r="C170" s="7" t="s">
        <v>14</v>
      </c>
      <c r="D170" s="7">
        <v>76.5</v>
      </c>
      <c r="E170" s="6">
        <v>76.5</v>
      </c>
      <c r="F170" s="5">
        <f t="shared" si="3"/>
        <v>62</v>
      </c>
      <c r="G170" s="7"/>
    </row>
    <row r="171" spans="1:7" ht="15" customHeight="1">
      <c r="A171" s="7" t="str">
        <f>"徐雯婧"</f>
        <v>徐雯婧</v>
      </c>
      <c r="B171" s="7">
        <v>20190724</v>
      </c>
      <c r="C171" s="7" t="s">
        <v>14</v>
      </c>
      <c r="D171" s="7">
        <v>76.5</v>
      </c>
      <c r="E171" s="6">
        <v>76.5</v>
      </c>
      <c r="F171" s="5">
        <f t="shared" si="3"/>
        <v>62</v>
      </c>
      <c r="G171" s="7"/>
    </row>
    <row r="172" spans="1:7" ht="15" customHeight="1">
      <c r="A172" s="7" t="str">
        <f>"李林存"</f>
        <v>李林存</v>
      </c>
      <c r="B172" s="7">
        <v>20190926</v>
      </c>
      <c r="C172" s="7" t="s">
        <v>14</v>
      </c>
      <c r="D172" s="7">
        <v>76.5</v>
      </c>
      <c r="E172" s="6">
        <v>76.5</v>
      </c>
      <c r="F172" s="5">
        <f t="shared" si="3"/>
        <v>62</v>
      </c>
      <c r="G172" s="7"/>
    </row>
    <row r="173" spans="1:7" ht="15" customHeight="1">
      <c r="A173" s="7" t="str">
        <f>"贾丽思"</f>
        <v>贾丽思</v>
      </c>
      <c r="B173" s="7">
        <v>20190928</v>
      </c>
      <c r="C173" s="7" t="s">
        <v>14</v>
      </c>
      <c r="D173" s="7">
        <v>76.5</v>
      </c>
      <c r="E173" s="6">
        <v>76.5</v>
      </c>
      <c r="F173" s="5">
        <f t="shared" ref="F173:F236" si="4">_xlfn.RANK.EQ(E173,$E$109:$E$313)</f>
        <v>62</v>
      </c>
      <c r="G173" s="7"/>
    </row>
    <row r="174" spans="1:7" ht="15" customHeight="1">
      <c r="A174" s="7" t="str">
        <f>"李陆柯"</f>
        <v>李陆柯</v>
      </c>
      <c r="B174" s="7">
        <v>20191004</v>
      </c>
      <c r="C174" s="7" t="s">
        <v>14</v>
      </c>
      <c r="D174" s="7">
        <v>76.5</v>
      </c>
      <c r="E174" s="6">
        <v>76.5</v>
      </c>
      <c r="F174" s="5">
        <f t="shared" si="4"/>
        <v>62</v>
      </c>
      <c r="G174" s="7"/>
    </row>
    <row r="175" spans="1:7" ht="15" customHeight="1">
      <c r="A175" s="7" t="str">
        <f>"邹静"</f>
        <v>邹静</v>
      </c>
      <c r="B175" s="7">
        <v>20190517</v>
      </c>
      <c r="C175" s="7" t="s">
        <v>14</v>
      </c>
      <c r="D175" s="7">
        <v>76</v>
      </c>
      <c r="E175" s="6">
        <v>76</v>
      </c>
      <c r="F175" s="5">
        <f t="shared" si="4"/>
        <v>67</v>
      </c>
      <c r="G175" s="7"/>
    </row>
    <row r="176" spans="1:7" ht="15" customHeight="1">
      <c r="A176" s="7" t="str">
        <f>"齐文琪"</f>
        <v>齐文琪</v>
      </c>
      <c r="B176" s="7">
        <v>20190728</v>
      </c>
      <c r="C176" s="7" t="s">
        <v>14</v>
      </c>
      <c r="D176" s="7">
        <v>76</v>
      </c>
      <c r="E176" s="6">
        <v>76</v>
      </c>
      <c r="F176" s="5">
        <f t="shared" si="4"/>
        <v>67</v>
      </c>
      <c r="G176" s="7"/>
    </row>
    <row r="177" spans="1:7" ht="15" customHeight="1">
      <c r="A177" s="7" t="str">
        <f>"苏珂"</f>
        <v>苏珂</v>
      </c>
      <c r="B177" s="7">
        <v>20191019</v>
      </c>
      <c r="C177" s="7" t="s">
        <v>14</v>
      </c>
      <c r="D177" s="7">
        <v>76</v>
      </c>
      <c r="E177" s="6">
        <v>76</v>
      </c>
      <c r="F177" s="5">
        <f t="shared" si="4"/>
        <v>67</v>
      </c>
      <c r="G177" s="7"/>
    </row>
    <row r="178" spans="1:7" ht="15" customHeight="1">
      <c r="A178" s="7" t="str">
        <f>"马腾飞"</f>
        <v>马腾飞</v>
      </c>
      <c r="B178" s="7">
        <v>20191026</v>
      </c>
      <c r="C178" s="7" t="s">
        <v>14</v>
      </c>
      <c r="D178" s="7">
        <v>76</v>
      </c>
      <c r="E178" s="6">
        <v>76</v>
      </c>
      <c r="F178" s="5">
        <f t="shared" si="4"/>
        <v>67</v>
      </c>
      <c r="G178" s="7"/>
    </row>
    <row r="179" spans="1:7" ht="15" customHeight="1">
      <c r="A179" s="7" t="str">
        <f>"周亚楠"</f>
        <v>周亚楠</v>
      </c>
      <c r="B179" s="7">
        <v>20191102</v>
      </c>
      <c r="C179" s="7" t="s">
        <v>14</v>
      </c>
      <c r="D179" s="7">
        <v>76</v>
      </c>
      <c r="E179" s="6">
        <v>76</v>
      </c>
      <c r="F179" s="5">
        <f t="shared" si="4"/>
        <v>67</v>
      </c>
      <c r="G179" s="7"/>
    </row>
    <row r="180" spans="1:7" ht="15" customHeight="1">
      <c r="A180" s="7" t="str">
        <f>"刘铭"</f>
        <v>刘铭</v>
      </c>
      <c r="B180" s="7">
        <v>20190506</v>
      </c>
      <c r="C180" s="7" t="s">
        <v>14</v>
      </c>
      <c r="D180" s="7">
        <v>75.5</v>
      </c>
      <c r="E180" s="6">
        <v>75.5</v>
      </c>
      <c r="F180" s="5">
        <f t="shared" si="4"/>
        <v>72</v>
      </c>
      <c r="G180" s="7"/>
    </row>
    <row r="181" spans="1:7" ht="15" customHeight="1">
      <c r="A181" s="7" t="str">
        <f>"丁双"</f>
        <v>丁双</v>
      </c>
      <c r="B181" s="7">
        <v>20190524</v>
      </c>
      <c r="C181" s="7" t="s">
        <v>14</v>
      </c>
      <c r="D181" s="7">
        <v>75.5</v>
      </c>
      <c r="E181" s="6">
        <v>75.5</v>
      </c>
      <c r="F181" s="5">
        <f t="shared" si="4"/>
        <v>72</v>
      </c>
      <c r="G181" s="7"/>
    </row>
    <row r="182" spans="1:7" ht="15" customHeight="1">
      <c r="A182" s="7" t="str">
        <f>"马进卫"</f>
        <v>马进卫</v>
      </c>
      <c r="B182" s="7">
        <v>20190621</v>
      </c>
      <c r="C182" s="7" t="s">
        <v>14</v>
      </c>
      <c r="D182" s="7">
        <v>75.5</v>
      </c>
      <c r="E182" s="6">
        <v>75.5</v>
      </c>
      <c r="F182" s="5">
        <f t="shared" si="4"/>
        <v>72</v>
      </c>
      <c r="G182" s="7"/>
    </row>
    <row r="183" spans="1:7" ht="15" customHeight="1">
      <c r="A183" s="7" t="str">
        <f>"王亭亭"</f>
        <v>王亭亭</v>
      </c>
      <c r="B183" s="7">
        <v>20190720</v>
      </c>
      <c r="C183" s="7" t="s">
        <v>14</v>
      </c>
      <c r="D183" s="7">
        <v>75.5</v>
      </c>
      <c r="E183" s="6">
        <v>75.5</v>
      </c>
      <c r="F183" s="5">
        <f t="shared" si="4"/>
        <v>72</v>
      </c>
      <c r="G183" s="7"/>
    </row>
    <row r="184" spans="1:7" ht="15" customHeight="1">
      <c r="A184" s="7" t="str">
        <f>"李雪"</f>
        <v>李雪</v>
      </c>
      <c r="B184" s="7">
        <v>20190729</v>
      </c>
      <c r="C184" s="7" t="s">
        <v>14</v>
      </c>
      <c r="D184" s="7">
        <v>75.5</v>
      </c>
      <c r="E184" s="6">
        <v>75.5</v>
      </c>
      <c r="F184" s="5">
        <f t="shared" si="4"/>
        <v>72</v>
      </c>
      <c r="G184" s="7"/>
    </row>
    <row r="185" spans="1:7" ht="15" customHeight="1">
      <c r="A185" s="7" t="str">
        <f>"黄婷"</f>
        <v>黄婷</v>
      </c>
      <c r="B185" s="7">
        <v>20190910</v>
      </c>
      <c r="C185" s="7" t="s">
        <v>14</v>
      </c>
      <c r="D185" s="7">
        <v>75.5</v>
      </c>
      <c r="E185" s="6">
        <v>75.5</v>
      </c>
      <c r="F185" s="5">
        <f t="shared" si="4"/>
        <v>72</v>
      </c>
      <c r="G185" s="7"/>
    </row>
    <row r="186" spans="1:7" ht="15" customHeight="1">
      <c r="A186" s="7" t="str">
        <f>"王孟迪"</f>
        <v>王孟迪</v>
      </c>
      <c r="B186" s="7">
        <v>20191109</v>
      </c>
      <c r="C186" s="7" t="s">
        <v>14</v>
      </c>
      <c r="D186" s="7">
        <v>75.5</v>
      </c>
      <c r="E186" s="6">
        <v>75.5</v>
      </c>
      <c r="F186" s="5">
        <f t="shared" si="4"/>
        <v>72</v>
      </c>
      <c r="G186" s="7"/>
    </row>
    <row r="187" spans="1:7" ht="15" customHeight="1">
      <c r="A187" s="7" t="str">
        <f>"赵晨"</f>
        <v>赵晨</v>
      </c>
      <c r="B187" s="7">
        <v>20190513</v>
      </c>
      <c r="C187" s="7" t="s">
        <v>14</v>
      </c>
      <c r="D187" s="7">
        <v>75</v>
      </c>
      <c r="E187" s="6">
        <v>75</v>
      </c>
      <c r="F187" s="5">
        <f t="shared" si="4"/>
        <v>79</v>
      </c>
      <c r="G187" s="7"/>
    </row>
    <row r="188" spans="1:7" ht="15" customHeight="1">
      <c r="A188" s="7" t="str">
        <f>"孙意爽"</f>
        <v>孙意爽</v>
      </c>
      <c r="B188" s="7">
        <v>20190615</v>
      </c>
      <c r="C188" s="7" t="s">
        <v>14</v>
      </c>
      <c r="D188" s="7">
        <v>75</v>
      </c>
      <c r="E188" s="6">
        <v>75</v>
      </c>
      <c r="F188" s="5">
        <f t="shared" si="4"/>
        <v>79</v>
      </c>
      <c r="G188" s="7"/>
    </row>
    <row r="189" spans="1:7" ht="15" customHeight="1">
      <c r="A189" s="7" t="str">
        <f>"赵航"</f>
        <v>赵航</v>
      </c>
      <c r="B189" s="7">
        <v>20190723</v>
      </c>
      <c r="C189" s="7" t="s">
        <v>14</v>
      </c>
      <c r="D189" s="7">
        <v>75</v>
      </c>
      <c r="E189" s="6">
        <v>75</v>
      </c>
      <c r="F189" s="5">
        <f t="shared" si="4"/>
        <v>79</v>
      </c>
      <c r="G189" s="7"/>
    </row>
    <row r="190" spans="1:7" ht="15" customHeight="1">
      <c r="A190" s="7" t="str">
        <f>"刘红"</f>
        <v>刘红</v>
      </c>
      <c r="B190" s="7">
        <v>20190901</v>
      </c>
      <c r="C190" s="7" t="s">
        <v>14</v>
      </c>
      <c r="D190" s="7">
        <v>75</v>
      </c>
      <c r="E190" s="6">
        <v>75</v>
      </c>
      <c r="F190" s="5">
        <f t="shared" si="4"/>
        <v>79</v>
      </c>
      <c r="G190" s="7"/>
    </row>
    <row r="191" spans="1:7" ht="15" customHeight="1">
      <c r="A191" s="7" t="str">
        <f>"王欣"</f>
        <v>王欣</v>
      </c>
      <c r="B191" s="7">
        <v>20191001</v>
      </c>
      <c r="C191" s="7" t="s">
        <v>14</v>
      </c>
      <c r="D191" s="7">
        <v>75</v>
      </c>
      <c r="E191" s="6">
        <v>75</v>
      </c>
      <c r="F191" s="5">
        <f t="shared" si="4"/>
        <v>79</v>
      </c>
      <c r="G191" s="7"/>
    </row>
    <row r="192" spans="1:7" ht="15" customHeight="1">
      <c r="A192" s="7" t="str">
        <f>"闪婕妤"</f>
        <v>闪婕妤</v>
      </c>
      <c r="B192" s="7">
        <v>20191121</v>
      </c>
      <c r="C192" s="7" t="s">
        <v>14</v>
      </c>
      <c r="D192" s="7">
        <v>75</v>
      </c>
      <c r="E192" s="6">
        <v>75</v>
      </c>
      <c r="F192" s="5">
        <f t="shared" si="4"/>
        <v>79</v>
      </c>
      <c r="G192" s="7"/>
    </row>
    <row r="193" spans="1:7" ht="15" customHeight="1">
      <c r="A193" s="7" t="str">
        <f>"王春丽"</f>
        <v>王春丽</v>
      </c>
      <c r="B193" s="7">
        <v>20190508</v>
      </c>
      <c r="C193" s="7" t="s">
        <v>14</v>
      </c>
      <c r="D193" s="7">
        <v>74.5</v>
      </c>
      <c r="E193" s="6">
        <v>74.5</v>
      </c>
      <c r="F193" s="5">
        <f t="shared" si="4"/>
        <v>85</v>
      </c>
      <c r="G193" s="7"/>
    </row>
    <row r="194" spans="1:7" ht="15" customHeight="1">
      <c r="A194" s="7" t="str">
        <f>"吕雨露"</f>
        <v>吕雨露</v>
      </c>
      <c r="B194" s="7">
        <v>20190623</v>
      </c>
      <c r="C194" s="7" t="s">
        <v>14</v>
      </c>
      <c r="D194" s="7">
        <v>74.5</v>
      </c>
      <c r="E194" s="6">
        <v>74.5</v>
      </c>
      <c r="F194" s="5">
        <f t="shared" si="4"/>
        <v>85</v>
      </c>
      <c r="G194" s="7"/>
    </row>
    <row r="195" spans="1:7" ht="15" customHeight="1">
      <c r="A195" s="7" t="str">
        <f>"李瑞"</f>
        <v>李瑞</v>
      </c>
      <c r="B195" s="7">
        <v>20190701</v>
      </c>
      <c r="C195" s="7" t="s">
        <v>14</v>
      </c>
      <c r="D195" s="7">
        <v>74.5</v>
      </c>
      <c r="E195" s="6">
        <v>74.5</v>
      </c>
      <c r="F195" s="5">
        <f t="shared" si="4"/>
        <v>85</v>
      </c>
      <c r="G195" s="7"/>
    </row>
    <row r="196" spans="1:7" ht="15" customHeight="1">
      <c r="A196" s="7" t="str">
        <f>"黄娜"</f>
        <v>黄娜</v>
      </c>
      <c r="B196" s="7">
        <v>20190710</v>
      </c>
      <c r="C196" s="7" t="s">
        <v>14</v>
      </c>
      <c r="D196" s="7">
        <v>74.5</v>
      </c>
      <c r="E196" s="6">
        <v>74.5</v>
      </c>
      <c r="F196" s="5">
        <f t="shared" si="4"/>
        <v>85</v>
      </c>
      <c r="G196" s="7"/>
    </row>
    <row r="197" spans="1:7" ht="15" customHeight="1">
      <c r="A197" s="7" t="str">
        <f>"邓沛怡"</f>
        <v>邓沛怡</v>
      </c>
      <c r="B197" s="7">
        <v>20190806</v>
      </c>
      <c r="C197" s="7" t="s">
        <v>14</v>
      </c>
      <c r="D197" s="7">
        <v>74.5</v>
      </c>
      <c r="E197" s="6">
        <v>74.5</v>
      </c>
      <c r="F197" s="5">
        <f t="shared" si="4"/>
        <v>85</v>
      </c>
      <c r="G197" s="7"/>
    </row>
    <row r="198" spans="1:7" ht="15" customHeight="1">
      <c r="A198" s="7" t="str">
        <f>"史怡帆"</f>
        <v>史怡帆</v>
      </c>
      <c r="B198" s="7">
        <v>20190929</v>
      </c>
      <c r="C198" s="7" t="s">
        <v>14</v>
      </c>
      <c r="D198" s="7">
        <v>74.5</v>
      </c>
      <c r="E198" s="6">
        <v>74.5</v>
      </c>
      <c r="F198" s="5">
        <f t="shared" si="4"/>
        <v>85</v>
      </c>
      <c r="G198" s="7"/>
    </row>
    <row r="199" spans="1:7" ht="15" customHeight="1">
      <c r="A199" s="7" t="str">
        <f>"王彦"</f>
        <v>王彦</v>
      </c>
      <c r="B199" s="7">
        <v>20191202</v>
      </c>
      <c r="C199" s="7" t="s">
        <v>14</v>
      </c>
      <c r="D199" s="7">
        <v>74.5</v>
      </c>
      <c r="E199" s="6">
        <v>74.5</v>
      </c>
      <c r="F199" s="5">
        <f t="shared" si="4"/>
        <v>85</v>
      </c>
      <c r="G199" s="7"/>
    </row>
    <row r="200" spans="1:7" ht="15" customHeight="1">
      <c r="A200" s="7" t="str">
        <f>"刘晓米"</f>
        <v>刘晓米</v>
      </c>
      <c r="B200" s="7">
        <v>20190619</v>
      </c>
      <c r="C200" s="7" t="s">
        <v>14</v>
      </c>
      <c r="D200" s="7">
        <v>74</v>
      </c>
      <c r="E200" s="6">
        <v>74</v>
      </c>
      <c r="F200" s="5">
        <f t="shared" si="4"/>
        <v>92</v>
      </c>
      <c r="G200" s="7"/>
    </row>
    <row r="201" spans="1:7" ht="15" customHeight="1">
      <c r="A201" s="7" t="str">
        <f>"田璐"</f>
        <v>田璐</v>
      </c>
      <c r="B201" s="7">
        <v>20190713</v>
      </c>
      <c r="C201" s="7" t="s">
        <v>14</v>
      </c>
      <c r="D201" s="7">
        <v>74</v>
      </c>
      <c r="E201" s="6">
        <v>74</v>
      </c>
      <c r="F201" s="5">
        <f t="shared" si="4"/>
        <v>92</v>
      </c>
      <c r="G201" s="7"/>
    </row>
    <row r="202" spans="1:7" ht="15" customHeight="1">
      <c r="A202" s="7" t="str">
        <f>"司汶洁"</f>
        <v>司汶洁</v>
      </c>
      <c r="B202" s="7">
        <v>20190808</v>
      </c>
      <c r="C202" s="7" t="s">
        <v>14</v>
      </c>
      <c r="D202" s="7">
        <v>74</v>
      </c>
      <c r="E202" s="6">
        <v>74</v>
      </c>
      <c r="F202" s="5">
        <f t="shared" si="4"/>
        <v>92</v>
      </c>
      <c r="G202" s="7"/>
    </row>
    <row r="203" spans="1:7" ht="15" customHeight="1">
      <c r="A203" s="7" t="str">
        <f>"吕冰"</f>
        <v>吕冰</v>
      </c>
      <c r="B203" s="7">
        <v>20191023</v>
      </c>
      <c r="C203" s="7" t="s">
        <v>14</v>
      </c>
      <c r="D203" s="7">
        <v>74</v>
      </c>
      <c r="E203" s="6">
        <v>74</v>
      </c>
      <c r="F203" s="5">
        <f t="shared" si="4"/>
        <v>92</v>
      </c>
      <c r="G203" s="7"/>
    </row>
    <row r="204" spans="1:7" ht="15" customHeight="1">
      <c r="A204" s="7" t="str">
        <f>"乔亚军"</f>
        <v>乔亚军</v>
      </c>
      <c r="B204" s="7">
        <v>20190530</v>
      </c>
      <c r="C204" s="7" t="s">
        <v>14</v>
      </c>
      <c r="D204" s="7">
        <v>73.5</v>
      </c>
      <c r="E204" s="6">
        <v>73.5</v>
      </c>
      <c r="F204" s="5">
        <f t="shared" si="4"/>
        <v>96</v>
      </c>
      <c r="G204" s="7"/>
    </row>
    <row r="205" spans="1:7" ht="15" customHeight="1">
      <c r="A205" s="7" t="str">
        <f>"梅佳林"</f>
        <v>梅佳林</v>
      </c>
      <c r="B205" s="7">
        <v>20190601</v>
      </c>
      <c r="C205" s="7" t="s">
        <v>14</v>
      </c>
      <c r="D205" s="7">
        <v>73.5</v>
      </c>
      <c r="E205" s="6">
        <v>73.5</v>
      </c>
      <c r="F205" s="5">
        <f t="shared" si="4"/>
        <v>96</v>
      </c>
      <c r="G205" s="7"/>
    </row>
    <row r="206" spans="1:7" ht="15" customHeight="1">
      <c r="A206" s="7" t="str">
        <f>"孙程程"</f>
        <v>孙程程</v>
      </c>
      <c r="B206" s="7">
        <v>20190609</v>
      </c>
      <c r="C206" s="7" t="s">
        <v>14</v>
      </c>
      <c r="D206" s="7">
        <v>73.5</v>
      </c>
      <c r="E206" s="6">
        <v>73.5</v>
      </c>
      <c r="F206" s="5">
        <f t="shared" si="4"/>
        <v>96</v>
      </c>
      <c r="G206" s="7"/>
    </row>
    <row r="207" spans="1:7" ht="15" customHeight="1">
      <c r="A207" s="7" t="str">
        <f>"吴婷婷"</f>
        <v>吴婷婷</v>
      </c>
      <c r="B207" s="7">
        <v>20190805</v>
      </c>
      <c r="C207" s="7" t="s">
        <v>14</v>
      </c>
      <c r="D207" s="7">
        <v>73.5</v>
      </c>
      <c r="E207" s="6">
        <v>73.5</v>
      </c>
      <c r="F207" s="5">
        <f t="shared" si="4"/>
        <v>96</v>
      </c>
      <c r="G207" s="7"/>
    </row>
    <row r="208" spans="1:7" ht="15" customHeight="1">
      <c r="A208" s="7" t="str">
        <f>"宋甜甜"</f>
        <v>宋甜甜</v>
      </c>
      <c r="B208" s="7">
        <v>20190823</v>
      </c>
      <c r="C208" s="7" t="s">
        <v>14</v>
      </c>
      <c r="D208" s="7">
        <v>73.5</v>
      </c>
      <c r="E208" s="6">
        <v>73.5</v>
      </c>
      <c r="F208" s="5">
        <f t="shared" si="4"/>
        <v>96</v>
      </c>
      <c r="G208" s="7"/>
    </row>
    <row r="209" spans="1:7" ht="15" customHeight="1">
      <c r="A209" s="7" t="str">
        <f>"张婷宇"</f>
        <v>张婷宇</v>
      </c>
      <c r="B209" s="7">
        <v>20190501</v>
      </c>
      <c r="C209" s="7" t="s">
        <v>14</v>
      </c>
      <c r="D209" s="7">
        <v>73</v>
      </c>
      <c r="E209" s="6">
        <v>73</v>
      </c>
      <c r="F209" s="5">
        <f t="shared" si="4"/>
        <v>101</v>
      </c>
      <c r="G209" s="7"/>
    </row>
    <row r="210" spans="1:7" ht="15" customHeight="1">
      <c r="A210" s="7" t="str">
        <f>"樊彩文"</f>
        <v>樊彩文</v>
      </c>
      <c r="B210" s="7">
        <v>20190620</v>
      </c>
      <c r="C210" s="7" t="s">
        <v>14</v>
      </c>
      <c r="D210" s="7">
        <v>73</v>
      </c>
      <c r="E210" s="6">
        <v>73</v>
      </c>
      <c r="F210" s="5">
        <f t="shared" si="4"/>
        <v>101</v>
      </c>
      <c r="G210" s="7"/>
    </row>
    <row r="211" spans="1:7" ht="15" customHeight="1">
      <c r="A211" s="7" t="str">
        <f>"程晓一"</f>
        <v>程晓一</v>
      </c>
      <c r="B211" s="7">
        <v>20190703</v>
      </c>
      <c r="C211" s="7" t="s">
        <v>14</v>
      </c>
      <c r="D211" s="7">
        <v>73</v>
      </c>
      <c r="E211" s="6">
        <v>73</v>
      </c>
      <c r="F211" s="5">
        <f t="shared" si="4"/>
        <v>101</v>
      </c>
      <c r="G211" s="7"/>
    </row>
    <row r="212" spans="1:7" ht="15" customHeight="1">
      <c r="A212" s="7" t="str">
        <f>"李艳明"</f>
        <v>李艳明</v>
      </c>
      <c r="B212" s="7">
        <v>20190705</v>
      </c>
      <c r="C212" s="7" t="s">
        <v>14</v>
      </c>
      <c r="D212" s="7">
        <v>73</v>
      </c>
      <c r="E212" s="6">
        <v>73</v>
      </c>
      <c r="F212" s="5">
        <f t="shared" si="4"/>
        <v>101</v>
      </c>
      <c r="G212" s="7"/>
    </row>
    <row r="213" spans="1:7" ht="15" customHeight="1">
      <c r="A213" s="7" t="str">
        <f>"张鑫"</f>
        <v>张鑫</v>
      </c>
      <c r="B213" s="7">
        <v>20190719</v>
      </c>
      <c r="C213" s="7" t="s">
        <v>14</v>
      </c>
      <c r="D213" s="7">
        <v>73</v>
      </c>
      <c r="E213" s="6">
        <v>73</v>
      </c>
      <c r="F213" s="5">
        <f t="shared" si="4"/>
        <v>101</v>
      </c>
      <c r="G213" s="7"/>
    </row>
    <row r="214" spans="1:7" ht="15" customHeight="1">
      <c r="A214" s="7" t="str">
        <f>"杜旭玲"</f>
        <v>杜旭玲</v>
      </c>
      <c r="B214" s="7">
        <v>20190802</v>
      </c>
      <c r="C214" s="7" t="s">
        <v>14</v>
      </c>
      <c r="D214" s="7">
        <v>73</v>
      </c>
      <c r="E214" s="6">
        <v>73</v>
      </c>
      <c r="F214" s="5">
        <f t="shared" si="4"/>
        <v>101</v>
      </c>
      <c r="G214" s="7"/>
    </row>
    <row r="215" spans="1:7" ht="15" customHeight="1">
      <c r="A215" s="7" t="str">
        <f>"刘玉婵"</f>
        <v>刘玉婵</v>
      </c>
      <c r="B215" s="7">
        <v>20190906</v>
      </c>
      <c r="C215" s="7" t="s">
        <v>14</v>
      </c>
      <c r="D215" s="7">
        <v>73</v>
      </c>
      <c r="E215" s="6">
        <v>73</v>
      </c>
      <c r="F215" s="5">
        <f t="shared" si="4"/>
        <v>101</v>
      </c>
      <c r="G215" s="7"/>
    </row>
    <row r="216" spans="1:7" ht="15" customHeight="1">
      <c r="A216" s="7" t="str">
        <f>"何琳"</f>
        <v>何琳</v>
      </c>
      <c r="B216" s="7">
        <v>20191116</v>
      </c>
      <c r="C216" s="7" t="s">
        <v>14</v>
      </c>
      <c r="D216" s="7">
        <v>73</v>
      </c>
      <c r="E216" s="6">
        <v>73</v>
      </c>
      <c r="F216" s="5">
        <f t="shared" si="4"/>
        <v>101</v>
      </c>
      <c r="G216" s="7"/>
    </row>
    <row r="217" spans="1:7" ht="15" customHeight="1">
      <c r="A217" s="7" t="str">
        <f>"任少珂"</f>
        <v>任少珂</v>
      </c>
      <c r="B217" s="7">
        <v>20190505</v>
      </c>
      <c r="C217" s="7" t="s">
        <v>14</v>
      </c>
      <c r="D217" s="7">
        <v>72.5</v>
      </c>
      <c r="E217" s="6">
        <v>72.5</v>
      </c>
      <c r="F217" s="5">
        <f t="shared" si="4"/>
        <v>109</v>
      </c>
      <c r="G217" s="7"/>
    </row>
    <row r="218" spans="1:7" ht="15" customHeight="1">
      <c r="A218" s="7" t="str">
        <f>"马宇霜"</f>
        <v>马宇霜</v>
      </c>
      <c r="B218" s="7">
        <v>20190514</v>
      </c>
      <c r="C218" s="7" t="s">
        <v>14</v>
      </c>
      <c r="D218" s="7">
        <v>72.5</v>
      </c>
      <c r="E218" s="6">
        <v>72.5</v>
      </c>
      <c r="F218" s="5">
        <f t="shared" si="4"/>
        <v>109</v>
      </c>
      <c r="G218" s="7"/>
    </row>
    <row r="219" spans="1:7" ht="15" customHeight="1">
      <c r="A219" s="7" t="str">
        <f>"王丽君"</f>
        <v>王丽君</v>
      </c>
      <c r="B219" s="7">
        <v>20190520</v>
      </c>
      <c r="C219" s="7" t="s">
        <v>14</v>
      </c>
      <c r="D219" s="7">
        <v>72.5</v>
      </c>
      <c r="E219" s="6">
        <v>72.5</v>
      </c>
      <c r="F219" s="5">
        <f t="shared" si="4"/>
        <v>109</v>
      </c>
      <c r="G219" s="7"/>
    </row>
    <row r="220" spans="1:7" ht="15" customHeight="1">
      <c r="A220" s="7" t="str">
        <f>"汤朝阳"</f>
        <v>汤朝阳</v>
      </c>
      <c r="B220" s="7">
        <v>20190811</v>
      </c>
      <c r="C220" s="7" t="s">
        <v>14</v>
      </c>
      <c r="D220" s="7">
        <v>72.5</v>
      </c>
      <c r="E220" s="6">
        <v>72.5</v>
      </c>
      <c r="F220" s="5">
        <f t="shared" si="4"/>
        <v>109</v>
      </c>
      <c r="G220" s="7"/>
    </row>
    <row r="221" spans="1:7" ht="15" customHeight="1">
      <c r="A221" s="7" t="str">
        <f>"杨翠娥"</f>
        <v>杨翠娥</v>
      </c>
      <c r="B221" s="7">
        <v>20191012</v>
      </c>
      <c r="C221" s="7" t="s">
        <v>14</v>
      </c>
      <c r="D221" s="7">
        <v>72.5</v>
      </c>
      <c r="E221" s="6">
        <v>72.5</v>
      </c>
      <c r="F221" s="5">
        <f t="shared" si="4"/>
        <v>109</v>
      </c>
      <c r="G221" s="7"/>
    </row>
    <row r="222" spans="1:7" ht="15" customHeight="1">
      <c r="A222" s="7" t="str">
        <f>"陈媛"</f>
        <v>陈媛</v>
      </c>
      <c r="B222" s="7">
        <v>20191103</v>
      </c>
      <c r="C222" s="7" t="s">
        <v>14</v>
      </c>
      <c r="D222" s="7">
        <v>72.5</v>
      </c>
      <c r="E222" s="6">
        <v>72.5</v>
      </c>
      <c r="F222" s="5">
        <f t="shared" si="4"/>
        <v>109</v>
      </c>
      <c r="G222" s="7"/>
    </row>
    <row r="223" spans="1:7" ht="15" customHeight="1">
      <c r="A223" s="7" t="str">
        <f>"史艳雪"</f>
        <v>史艳雪</v>
      </c>
      <c r="B223" s="7">
        <v>20190630</v>
      </c>
      <c r="C223" s="7" t="s">
        <v>14</v>
      </c>
      <c r="D223" s="7">
        <v>72</v>
      </c>
      <c r="E223" s="6">
        <v>72</v>
      </c>
      <c r="F223" s="5">
        <f t="shared" si="4"/>
        <v>115</v>
      </c>
      <c r="G223" s="7"/>
    </row>
    <row r="224" spans="1:7" ht="15" customHeight="1">
      <c r="A224" s="7" t="str">
        <f>"刘愷瑞"</f>
        <v>刘愷瑞</v>
      </c>
      <c r="B224" s="7">
        <v>20190817</v>
      </c>
      <c r="C224" s="7" t="s">
        <v>14</v>
      </c>
      <c r="D224" s="7">
        <v>72</v>
      </c>
      <c r="E224" s="6">
        <v>72</v>
      </c>
      <c r="F224" s="5">
        <f t="shared" si="4"/>
        <v>115</v>
      </c>
      <c r="G224" s="7"/>
    </row>
    <row r="225" spans="1:7" ht="15" customHeight="1">
      <c r="A225" s="7" t="str">
        <f>"周媛"</f>
        <v>周媛</v>
      </c>
      <c r="B225" s="7">
        <v>20190903</v>
      </c>
      <c r="C225" s="7" t="s">
        <v>14</v>
      </c>
      <c r="D225" s="7">
        <v>72</v>
      </c>
      <c r="E225" s="6">
        <v>72</v>
      </c>
      <c r="F225" s="5">
        <f t="shared" si="4"/>
        <v>115</v>
      </c>
      <c r="G225" s="7"/>
    </row>
    <row r="226" spans="1:7" ht="15" customHeight="1">
      <c r="A226" s="7" t="str">
        <f>"吕双"</f>
        <v>吕双</v>
      </c>
      <c r="B226" s="7">
        <v>20190904</v>
      </c>
      <c r="C226" s="7" t="s">
        <v>14</v>
      </c>
      <c r="D226" s="7">
        <v>72</v>
      </c>
      <c r="E226" s="6">
        <v>72</v>
      </c>
      <c r="F226" s="5">
        <f t="shared" si="4"/>
        <v>115</v>
      </c>
      <c r="G226" s="7"/>
    </row>
    <row r="227" spans="1:7" ht="15" customHeight="1">
      <c r="A227" s="7" t="str">
        <f>"丁一鸣"</f>
        <v>丁一鸣</v>
      </c>
      <c r="B227" s="7">
        <v>20191130</v>
      </c>
      <c r="C227" s="7" t="s">
        <v>14</v>
      </c>
      <c r="D227" s="7">
        <v>72</v>
      </c>
      <c r="E227" s="6">
        <v>72</v>
      </c>
      <c r="F227" s="5">
        <f t="shared" si="4"/>
        <v>115</v>
      </c>
      <c r="G227" s="7"/>
    </row>
    <row r="228" spans="1:7" ht="15" customHeight="1">
      <c r="A228" s="7" t="str">
        <f>"徐孟菊"</f>
        <v>徐孟菊</v>
      </c>
      <c r="B228" s="7">
        <v>20190503</v>
      </c>
      <c r="C228" s="7" t="s">
        <v>14</v>
      </c>
      <c r="D228" s="7">
        <v>71.5</v>
      </c>
      <c r="E228" s="6">
        <v>71.5</v>
      </c>
      <c r="F228" s="5">
        <f t="shared" si="4"/>
        <v>120</v>
      </c>
      <c r="G228" s="7"/>
    </row>
    <row r="229" spans="1:7" ht="15" customHeight="1">
      <c r="A229" s="7" t="str">
        <f>"梁爽"</f>
        <v>梁爽</v>
      </c>
      <c r="B229" s="7">
        <v>20190523</v>
      </c>
      <c r="C229" s="7" t="s">
        <v>14</v>
      </c>
      <c r="D229" s="7">
        <v>71.5</v>
      </c>
      <c r="E229" s="6">
        <v>71.5</v>
      </c>
      <c r="F229" s="5">
        <f t="shared" si="4"/>
        <v>120</v>
      </c>
      <c r="G229" s="7"/>
    </row>
    <row r="230" spans="1:7" ht="15" customHeight="1">
      <c r="A230" s="7" t="str">
        <f>"毕聪品"</f>
        <v>毕聪品</v>
      </c>
      <c r="B230" s="7">
        <v>20190618</v>
      </c>
      <c r="C230" s="7" t="s">
        <v>14</v>
      </c>
      <c r="D230" s="7">
        <v>71.5</v>
      </c>
      <c r="E230" s="6">
        <v>71.5</v>
      </c>
      <c r="F230" s="5">
        <f t="shared" si="4"/>
        <v>120</v>
      </c>
      <c r="G230" s="7"/>
    </row>
    <row r="231" spans="1:7" ht="15" customHeight="1">
      <c r="A231" s="7" t="str">
        <f>"闫华丽"</f>
        <v>闫华丽</v>
      </c>
      <c r="B231" s="7">
        <v>20190707</v>
      </c>
      <c r="C231" s="7" t="s">
        <v>14</v>
      </c>
      <c r="D231" s="7">
        <v>71.5</v>
      </c>
      <c r="E231" s="6">
        <v>71.5</v>
      </c>
      <c r="F231" s="5">
        <f t="shared" si="4"/>
        <v>120</v>
      </c>
      <c r="G231" s="7"/>
    </row>
    <row r="232" spans="1:7" ht="15" customHeight="1">
      <c r="A232" s="7" t="str">
        <f>"张欣欣"</f>
        <v>张欣欣</v>
      </c>
      <c r="B232" s="7">
        <v>20190715</v>
      </c>
      <c r="C232" s="7" t="s">
        <v>14</v>
      </c>
      <c r="D232" s="7">
        <v>71.5</v>
      </c>
      <c r="E232" s="6">
        <v>71.5</v>
      </c>
      <c r="F232" s="5">
        <f t="shared" si="4"/>
        <v>120</v>
      </c>
      <c r="G232" s="7"/>
    </row>
    <row r="233" spans="1:7" ht="15" customHeight="1">
      <c r="A233" s="7" t="str">
        <f>"熊博"</f>
        <v>熊博</v>
      </c>
      <c r="B233" s="7">
        <v>20190804</v>
      </c>
      <c r="C233" s="7" t="s">
        <v>14</v>
      </c>
      <c r="D233" s="7">
        <v>71.5</v>
      </c>
      <c r="E233" s="6">
        <v>71.5</v>
      </c>
      <c r="F233" s="5">
        <f t="shared" si="4"/>
        <v>120</v>
      </c>
      <c r="G233" s="7"/>
    </row>
    <row r="234" spans="1:7" ht="15" customHeight="1">
      <c r="A234" s="7" t="str">
        <f>"孙燕雯"</f>
        <v>孙燕雯</v>
      </c>
      <c r="B234" s="7">
        <v>20190717</v>
      </c>
      <c r="C234" s="7" t="s">
        <v>14</v>
      </c>
      <c r="D234" s="7">
        <v>71</v>
      </c>
      <c r="E234" s="6">
        <v>71</v>
      </c>
      <c r="F234" s="5">
        <f t="shared" si="4"/>
        <v>126</v>
      </c>
      <c r="G234" s="7"/>
    </row>
    <row r="235" spans="1:7" ht="15" customHeight="1">
      <c r="A235" s="7" t="str">
        <f>"张艳"</f>
        <v>张艳</v>
      </c>
      <c r="B235" s="7">
        <v>20190726</v>
      </c>
      <c r="C235" s="7" t="s">
        <v>14</v>
      </c>
      <c r="D235" s="7">
        <v>71</v>
      </c>
      <c r="E235" s="6">
        <v>71</v>
      </c>
      <c r="F235" s="5">
        <f t="shared" si="4"/>
        <v>126</v>
      </c>
      <c r="G235" s="7"/>
    </row>
    <row r="236" spans="1:7" ht="15" customHeight="1">
      <c r="A236" s="7" t="str">
        <f>"范晨航"</f>
        <v>范晨航</v>
      </c>
      <c r="B236" s="7">
        <v>20190905</v>
      </c>
      <c r="C236" s="7" t="s">
        <v>14</v>
      </c>
      <c r="D236" s="7">
        <v>71</v>
      </c>
      <c r="E236" s="6">
        <v>71</v>
      </c>
      <c r="F236" s="5">
        <f t="shared" si="4"/>
        <v>126</v>
      </c>
      <c r="G236" s="7"/>
    </row>
    <row r="237" spans="1:7" ht="15" customHeight="1">
      <c r="A237" s="7" t="str">
        <f>"张晓"</f>
        <v>张晓</v>
      </c>
      <c r="B237" s="7">
        <v>20190608</v>
      </c>
      <c r="C237" s="7" t="s">
        <v>14</v>
      </c>
      <c r="D237" s="7">
        <v>70.5</v>
      </c>
      <c r="E237" s="6">
        <v>70.5</v>
      </c>
      <c r="F237" s="5">
        <f t="shared" ref="F237:F300" si="5">_xlfn.RANK.EQ(E237,$E$109:$E$313)</f>
        <v>129</v>
      </c>
      <c r="G237" s="7"/>
    </row>
    <row r="238" spans="1:7" ht="15" customHeight="1">
      <c r="A238" s="7" t="str">
        <f>"王振英"</f>
        <v>王振英</v>
      </c>
      <c r="B238" s="7">
        <v>20190611</v>
      </c>
      <c r="C238" s="7" t="s">
        <v>14</v>
      </c>
      <c r="D238" s="7">
        <v>70.5</v>
      </c>
      <c r="E238" s="6">
        <v>70.5</v>
      </c>
      <c r="F238" s="5">
        <f t="shared" si="5"/>
        <v>129</v>
      </c>
      <c r="G238" s="7"/>
    </row>
    <row r="239" spans="1:7" ht="15" customHeight="1">
      <c r="A239" s="7" t="str">
        <f>"徐乔璐"</f>
        <v>徐乔璐</v>
      </c>
      <c r="B239" s="7">
        <v>20190624</v>
      </c>
      <c r="C239" s="7" t="s">
        <v>14</v>
      </c>
      <c r="D239" s="7">
        <v>70.5</v>
      </c>
      <c r="E239" s="6">
        <v>70.5</v>
      </c>
      <c r="F239" s="5">
        <f t="shared" si="5"/>
        <v>129</v>
      </c>
      <c r="G239" s="7"/>
    </row>
    <row r="240" spans="1:7" ht="15" customHeight="1">
      <c r="A240" s="7" t="str">
        <f>"丁一丹"</f>
        <v>丁一丹</v>
      </c>
      <c r="B240" s="7">
        <v>20191010</v>
      </c>
      <c r="C240" s="7" t="s">
        <v>14</v>
      </c>
      <c r="D240" s="7">
        <v>70.5</v>
      </c>
      <c r="E240" s="6">
        <v>70.5</v>
      </c>
      <c r="F240" s="5">
        <f t="shared" si="5"/>
        <v>129</v>
      </c>
      <c r="G240" s="7"/>
    </row>
    <row r="241" spans="1:7" ht="15" customHeight="1">
      <c r="A241" s="7" t="str">
        <f>"栗宁"</f>
        <v>栗宁</v>
      </c>
      <c r="B241" s="7">
        <v>20191014</v>
      </c>
      <c r="C241" s="7" t="s">
        <v>14</v>
      </c>
      <c r="D241" s="7">
        <v>70.5</v>
      </c>
      <c r="E241" s="6">
        <v>70.5</v>
      </c>
      <c r="F241" s="5">
        <f t="shared" si="5"/>
        <v>129</v>
      </c>
      <c r="G241" s="7"/>
    </row>
    <row r="242" spans="1:7" ht="15" customHeight="1">
      <c r="A242" s="7" t="str">
        <f>"夏丹"</f>
        <v>夏丹</v>
      </c>
      <c r="B242" s="7">
        <v>20191018</v>
      </c>
      <c r="C242" s="7" t="s">
        <v>14</v>
      </c>
      <c r="D242" s="7">
        <v>70.5</v>
      </c>
      <c r="E242" s="6">
        <v>70.5</v>
      </c>
      <c r="F242" s="5">
        <f t="shared" si="5"/>
        <v>129</v>
      </c>
      <c r="G242" s="7"/>
    </row>
    <row r="243" spans="1:7" ht="15" customHeight="1">
      <c r="A243" s="11" t="str">
        <f>"宋晨平"</f>
        <v>宋晨平</v>
      </c>
      <c r="B243" s="11">
        <v>20190711</v>
      </c>
      <c r="C243" s="11" t="s">
        <v>14</v>
      </c>
      <c r="D243" s="11">
        <v>70</v>
      </c>
      <c r="E243" s="10">
        <v>70</v>
      </c>
      <c r="F243" s="5">
        <f t="shared" si="5"/>
        <v>135</v>
      </c>
      <c r="G243" s="11"/>
    </row>
    <row r="244" spans="1:7" ht="15" customHeight="1">
      <c r="A244" s="7" t="str">
        <f>"丁一轩"</f>
        <v>丁一轩</v>
      </c>
      <c r="B244" s="7">
        <v>20190923</v>
      </c>
      <c r="C244" s="7" t="s">
        <v>14</v>
      </c>
      <c r="D244" s="7">
        <v>70</v>
      </c>
      <c r="E244" s="6">
        <v>70</v>
      </c>
      <c r="F244" s="5">
        <f t="shared" si="5"/>
        <v>135</v>
      </c>
      <c r="G244" s="7"/>
    </row>
    <row r="245" spans="1:7" ht="15" customHeight="1">
      <c r="A245" s="7" t="str">
        <f>"李楠"</f>
        <v>李楠</v>
      </c>
      <c r="B245" s="7">
        <v>20191118</v>
      </c>
      <c r="C245" s="7" t="s">
        <v>14</v>
      </c>
      <c r="D245" s="7">
        <v>70</v>
      </c>
      <c r="E245" s="6">
        <v>70</v>
      </c>
      <c r="F245" s="5">
        <f t="shared" si="5"/>
        <v>135</v>
      </c>
      <c r="G245" s="7"/>
    </row>
    <row r="246" spans="1:7" ht="15" customHeight="1">
      <c r="A246" s="7" t="str">
        <f>"谢雪"</f>
        <v>谢雪</v>
      </c>
      <c r="B246" s="7">
        <v>20191126</v>
      </c>
      <c r="C246" s="7" t="s">
        <v>14</v>
      </c>
      <c r="D246" s="7">
        <v>70</v>
      </c>
      <c r="E246" s="6">
        <v>70</v>
      </c>
      <c r="F246" s="5">
        <f t="shared" si="5"/>
        <v>135</v>
      </c>
      <c r="G246" s="7"/>
    </row>
    <row r="247" spans="1:7" ht="15" customHeight="1">
      <c r="A247" s="7" t="str">
        <f>"赵梦蝶"</f>
        <v>赵梦蝶</v>
      </c>
      <c r="B247" s="7">
        <v>20190810</v>
      </c>
      <c r="C247" s="7" t="s">
        <v>14</v>
      </c>
      <c r="D247" s="7">
        <v>69.5</v>
      </c>
      <c r="E247" s="6">
        <v>69.5</v>
      </c>
      <c r="F247" s="5">
        <f t="shared" si="5"/>
        <v>139</v>
      </c>
      <c r="G247" s="7"/>
    </row>
    <row r="248" spans="1:7" ht="15" customHeight="1">
      <c r="A248" s="7" t="str">
        <f>"李婉霞"</f>
        <v>李婉霞</v>
      </c>
      <c r="B248" s="7">
        <v>20190821</v>
      </c>
      <c r="C248" s="7" t="s">
        <v>14</v>
      </c>
      <c r="D248" s="7">
        <v>69.5</v>
      </c>
      <c r="E248" s="6">
        <v>69.5</v>
      </c>
      <c r="F248" s="5">
        <f t="shared" si="5"/>
        <v>139</v>
      </c>
      <c r="G248" s="7"/>
    </row>
    <row r="249" spans="1:7" ht="15" customHeight="1">
      <c r="A249" s="7" t="str">
        <f>"陈少营"</f>
        <v>陈少营</v>
      </c>
      <c r="B249" s="7">
        <v>20191119</v>
      </c>
      <c r="C249" s="7" t="s">
        <v>14</v>
      </c>
      <c r="D249" s="7">
        <v>69.5</v>
      </c>
      <c r="E249" s="6">
        <v>69.5</v>
      </c>
      <c r="F249" s="5">
        <f t="shared" si="5"/>
        <v>139</v>
      </c>
      <c r="G249" s="7"/>
    </row>
    <row r="250" spans="1:7" ht="15" customHeight="1">
      <c r="A250" s="7" t="str">
        <f>"周怡"</f>
        <v>周怡</v>
      </c>
      <c r="B250" s="7">
        <v>20190716</v>
      </c>
      <c r="C250" s="7" t="s">
        <v>14</v>
      </c>
      <c r="D250" s="7">
        <v>69</v>
      </c>
      <c r="E250" s="6">
        <v>69</v>
      </c>
      <c r="F250" s="5">
        <f t="shared" si="5"/>
        <v>142</v>
      </c>
      <c r="G250" s="7"/>
    </row>
    <row r="251" spans="1:7" ht="15" customHeight="1">
      <c r="A251" s="7" t="str">
        <f>"杨雪"</f>
        <v>杨雪</v>
      </c>
      <c r="B251" s="7">
        <v>20190820</v>
      </c>
      <c r="C251" s="7" t="s">
        <v>14</v>
      </c>
      <c r="D251" s="7">
        <v>68.5</v>
      </c>
      <c r="E251" s="6">
        <v>68.5</v>
      </c>
      <c r="F251" s="5">
        <f t="shared" si="5"/>
        <v>143</v>
      </c>
      <c r="G251" s="7"/>
    </row>
    <row r="252" spans="1:7" ht="15" customHeight="1">
      <c r="A252" s="7" t="str">
        <f>"张洋"</f>
        <v>张洋</v>
      </c>
      <c r="B252" s="7">
        <v>20190925</v>
      </c>
      <c r="C252" s="7" t="s">
        <v>14</v>
      </c>
      <c r="D252" s="7">
        <v>68.5</v>
      </c>
      <c r="E252" s="6">
        <v>68.5</v>
      </c>
      <c r="F252" s="5">
        <f t="shared" si="5"/>
        <v>143</v>
      </c>
      <c r="G252" s="7"/>
    </row>
    <row r="253" spans="1:7" ht="15" customHeight="1">
      <c r="A253" s="7" t="str">
        <f>"何倩"</f>
        <v>何倩</v>
      </c>
      <c r="B253" s="7">
        <v>20190927</v>
      </c>
      <c r="C253" s="7" t="s">
        <v>14</v>
      </c>
      <c r="D253" s="7">
        <v>68.5</v>
      </c>
      <c r="E253" s="6">
        <v>68.5</v>
      </c>
      <c r="F253" s="5">
        <f t="shared" si="5"/>
        <v>143</v>
      </c>
      <c r="G253" s="7"/>
    </row>
    <row r="254" spans="1:7" ht="15" customHeight="1">
      <c r="A254" s="7" t="str">
        <f>"樊镇"</f>
        <v>樊镇</v>
      </c>
      <c r="B254" s="7">
        <v>20190522</v>
      </c>
      <c r="C254" s="7" t="s">
        <v>14</v>
      </c>
      <c r="D254" s="7">
        <v>68</v>
      </c>
      <c r="E254" s="6">
        <v>68</v>
      </c>
      <c r="F254" s="5">
        <f t="shared" si="5"/>
        <v>146</v>
      </c>
      <c r="G254" s="7"/>
    </row>
    <row r="255" spans="1:7" ht="15" customHeight="1">
      <c r="A255" s="7" t="str">
        <f>"归玉"</f>
        <v>归玉</v>
      </c>
      <c r="B255" s="7">
        <v>20190525</v>
      </c>
      <c r="C255" s="7" t="s">
        <v>14</v>
      </c>
      <c r="D255" s="7">
        <v>68</v>
      </c>
      <c r="E255" s="6">
        <v>68</v>
      </c>
      <c r="F255" s="5">
        <f t="shared" si="5"/>
        <v>146</v>
      </c>
      <c r="G255" s="7"/>
    </row>
    <row r="256" spans="1:7" ht="15" customHeight="1">
      <c r="A256" s="7" t="str">
        <f>"王若菡"</f>
        <v>王若菡</v>
      </c>
      <c r="B256" s="7">
        <v>20190527</v>
      </c>
      <c r="C256" s="7" t="s">
        <v>14</v>
      </c>
      <c r="D256" s="7">
        <v>68</v>
      </c>
      <c r="E256" s="6">
        <v>68</v>
      </c>
      <c r="F256" s="5">
        <f t="shared" si="5"/>
        <v>146</v>
      </c>
      <c r="G256" s="7"/>
    </row>
    <row r="257" spans="1:7" ht="15" customHeight="1">
      <c r="A257" s="7" t="str">
        <f>"王梦"</f>
        <v>王梦</v>
      </c>
      <c r="B257" s="7">
        <v>20190613</v>
      </c>
      <c r="C257" s="7" t="s">
        <v>14</v>
      </c>
      <c r="D257" s="7">
        <v>68</v>
      </c>
      <c r="E257" s="6">
        <v>68</v>
      </c>
      <c r="F257" s="5">
        <f t="shared" si="5"/>
        <v>146</v>
      </c>
      <c r="G257" s="7"/>
    </row>
    <row r="258" spans="1:7" ht="15" customHeight="1">
      <c r="A258" s="7" t="str">
        <f>"张月阳"</f>
        <v>张月阳</v>
      </c>
      <c r="B258" s="7">
        <v>20191201</v>
      </c>
      <c r="C258" s="7" t="s">
        <v>14</v>
      </c>
      <c r="D258" s="7">
        <v>68</v>
      </c>
      <c r="E258" s="6">
        <v>68</v>
      </c>
      <c r="F258" s="5">
        <f t="shared" si="5"/>
        <v>146</v>
      </c>
      <c r="G258" s="7"/>
    </row>
    <row r="259" spans="1:7" ht="15" customHeight="1">
      <c r="A259" s="7" t="str">
        <f>"任琳楠"</f>
        <v>任琳楠</v>
      </c>
      <c r="B259" s="7">
        <v>20190602</v>
      </c>
      <c r="C259" s="7" t="s">
        <v>14</v>
      </c>
      <c r="D259" s="7">
        <v>67.5</v>
      </c>
      <c r="E259" s="6">
        <v>67.5</v>
      </c>
      <c r="F259" s="5">
        <f t="shared" si="5"/>
        <v>151</v>
      </c>
      <c r="G259" s="7"/>
    </row>
    <row r="260" spans="1:7" ht="15" customHeight="1">
      <c r="A260" s="7" t="str">
        <f>"何梁艺"</f>
        <v>何梁艺</v>
      </c>
      <c r="B260" s="7">
        <v>20190730</v>
      </c>
      <c r="C260" s="7" t="s">
        <v>14</v>
      </c>
      <c r="D260" s="7">
        <v>67.5</v>
      </c>
      <c r="E260" s="6">
        <v>67.5</v>
      </c>
      <c r="F260" s="5">
        <f t="shared" si="5"/>
        <v>151</v>
      </c>
      <c r="G260" s="7"/>
    </row>
    <row r="261" spans="1:7" ht="15" customHeight="1">
      <c r="A261" s="7" t="str">
        <f>"李亚平"</f>
        <v>李亚平</v>
      </c>
      <c r="B261" s="7">
        <v>20190807</v>
      </c>
      <c r="C261" s="7" t="s">
        <v>14</v>
      </c>
      <c r="D261" s="7">
        <v>67.5</v>
      </c>
      <c r="E261" s="6">
        <v>67.5</v>
      </c>
      <c r="F261" s="5">
        <f t="shared" si="5"/>
        <v>151</v>
      </c>
      <c r="G261" s="7"/>
    </row>
    <row r="262" spans="1:7" ht="15" customHeight="1">
      <c r="A262" s="7" t="str">
        <f>"赵书玲"</f>
        <v>赵书玲</v>
      </c>
      <c r="B262" s="7">
        <v>20190920</v>
      </c>
      <c r="C262" s="7" t="s">
        <v>14</v>
      </c>
      <c r="D262" s="7">
        <v>67.5</v>
      </c>
      <c r="E262" s="6">
        <v>67.5</v>
      </c>
      <c r="F262" s="5">
        <f t="shared" si="5"/>
        <v>151</v>
      </c>
      <c r="G262" s="7"/>
    </row>
    <row r="263" spans="1:7" ht="15" customHeight="1">
      <c r="A263" s="7" t="str">
        <f>"张涵"</f>
        <v>张涵</v>
      </c>
      <c r="B263" s="7">
        <v>20191105</v>
      </c>
      <c r="C263" s="7" t="s">
        <v>14</v>
      </c>
      <c r="D263" s="7">
        <v>67.5</v>
      </c>
      <c r="E263" s="6">
        <v>67.5</v>
      </c>
      <c r="F263" s="5">
        <f t="shared" si="5"/>
        <v>151</v>
      </c>
      <c r="G263" s="7"/>
    </row>
    <row r="264" spans="1:7" ht="15" customHeight="1">
      <c r="A264" s="7" t="str">
        <f>"李洋"</f>
        <v>李洋</v>
      </c>
      <c r="B264" s="7">
        <v>20191204</v>
      </c>
      <c r="C264" s="7" t="s">
        <v>14</v>
      </c>
      <c r="D264" s="7">
        <v>67.5</v>
      </c>
      <c r="E264" s="6">
        <v>67.5</v>
      </c>
      <c r="F264" s="5">
        <f t="shared" si="5"/>
        <v>151</v>
      </c>
      <c r="G264" s="7"/>
    </row>
    <row r="265" spans="1:7" ht="15" customHeight="1">
      <c r="A265" s="7" t="str">
        <f>"郭颖"</f>
        <v>郭颖</v>
      </c>
      <c r="B265" s="7">
        <v>20190509</v>
      </c>
      <c r="C265" s="7" t="s">
        <v>14</v>
      </c>
      <c r="D265" s="7">
        <v>67</v>
      </c>
      <c r="E265" s="6">
        <v>67</v>
      </c>
      <c r="F265" s="5">
        <f t="shared" si="5"/>
        <v>157</v>
      </c>
      <c r="G265" s="7"/>
    </row>
    <row r="266" spans="1:7" ht="15" customHeight="1">
      <c r="A266" s="7" t="str">
        <f>"王云雷"</f>
        <v>王云雷</v>
      </c>
      <c r="B266" s="7">
        <v>20190521</v>
      </c>
      <c r="C266" s="7" t="s">
        <v>14</v>
      </c>
      <c r="D266" s="7">
        <v>67</v>
      </c>
      <c r="E266" s="6">
        <v>67</v>
      </c>
      <c r="F266" s="5">
        <f t="shared" si="5"/>
        <v>157</v>
      </c>
      <c r="G266" s="7"/>
    </row>
    <row r="267" spans="1:7" ht="15" customHeight="1">
      <c r="A267" s="7" t="str">
        <f>"张洪溶"</f>
        <v>张洪溶</v>
      </c>
      <c r="B267" s="7">
        <v>20190721</v>
      </c>
      <c r="C267" s="7" t="s">
        <v>14</v>
      </c>
      <c r="D267" s="7">
        <v>67</v>
      </c>
      <c r="E267" s="6">
        <v>67</v>
      </c>
      <c r="F267" s="5">
        <f t="shared" si="5"/>
        <v>157</v>
      </c>
      <c r="G267" s="7"/>
    </row>
    <row r="268" spans="1:7" ht="15" customHeight="1">
      <c r="A268" s="7" t="str">
        <f>"张立爽"</f>
        <v>张立爽</v>
      </c>
      <c r="B268" s="7">
        <v>20191125</v>
      </c>
      <c r="C268" s="7" t="s">
        <v>14</v>
      </c>
      <c r="D268" s="7">
        <v>67</v>
      </c>
      <c r="E268" s="6">
        <v>67</v>
      </c>
      <c r="F268" s="5">
        <f t="shared" si="5"/>
        <v>157</v>
      </c>
      <c r="G268" s="7"/>
    </row>
    <row r="269" spans="1:7" ht="15" customHeight="1">
      <c r="A269" s="7" t="str">
        <f>"孙航"</f>
        <v>孙航</v>
      </c>
      <c r="B269" s="7">
        <v>20190519</v>
      </c>
      <c r="C269" s="7" t="s">
        <v>14</v>
      </c>
      <c r="D269" s="7">
        <v>66.5</v>
      </c>
      <c r="E269" s="6">
        <v>66.5</v>
      </c>
      <c r="F269" s="5">
        <f t="shared" si="5"/>
        <v>161</v>
      </c>
      <c r="G269" s="7"/>
    </row>
    <row r="270" spans="1:7" ht="15" customHeight="1">
      <c r="A270" s="7" t="str">
        <f>"张小瑞"</f>
        <v>张小瑞</v>
      </c>
      <c r="B270" s="7">
        <v>20190629</v>
      </c>
      <c r="C270" s="7" t="s">
        <v>14</v>
      </c>
      <c r="D270" s="7">
        <v>66.5</v>
      </c>
      <c r="E270" s="6">
        <v>66.5</v>
      </c>
      <c r="F270" s="5">
        <f t="shared" si="5"/>
        <v>161</v>
      </c>
      <c r="G270" s="7"/>
    </row>
    <row r="271" spans="1:7" ht="15" customHeight="1">
      <c r="A271" s="7" t="str">
        <f>"蒋孟爽"</f>
        <v>蒋孟爽</v>
      </c>
      <c r="B271" s="7">
        <v>20190902</v>
      </c>
      <c r="C271" s="7" t="s">
        <v>14</v>
      </c>
      <c r="D271" s="7">
        <v>66.5</v>
      </c>
      <c r="E271" s="6">
        <v>66.5</v>
      </c>
      <c r="F271" s="5">
        <f t="shared" si="5"/>
        <v>161</v>
      </c>
      <c r="G271" s="7"/>
    </row>
    <row r="272" spans="1:7" ht="15" customHeight="1">
      <c r="A272" s="11" t="str">
        <f>"张画"</f>
        <v>张画</v>
      </c>
      <c r="B272" s="11">
        <v>20191027</v>
      </c>
      <c r="C272" s="11" t="s">
        <v>14</v>
      </c>
      <c r="D272" s="11">
        <v>66.5</v>
      </c>
      <c r="E272" s="10">
        <v>66.5</v>
      </c>
      <c r="F272" s="5">
        <f t="shared" si="5"/>
        <v>161</v>
      </c>
      <c r="G272" s="11"/>
    </row>
    <row r="273" spans="1:7" ht="15" customHeight="1">
      <c r="A273" s="7" t="str">
        <f>"蒙晓"</f>
        <v>蒙晓</v>
      </c>
      <c r="B273" s="7">
        <v>20191030</v>
      </c>
      <c r="C273" s="7" t="s">
        <v>14</v>
      </c>
      <c r="D273" s="7">
        <v>66.5</v>
      </c>
      <c r="E273" s="6">
        <v>66.5</v>
      </c>
      <c r="F273" s="5">
        <f t="shared" si="5"/>
        <v>161</v>
      </c>
      <c r="G273" s="7"/>
    </row>
    <row r="274" spans="1:7" ht="15" customHeight="1">
      <c r="A274" s="7" t="str">
        <f>"乔彦"</f>
        <v>乔彦</v>
      </c>
      <c r="B274" s="7">
        <v>20191128</v>
      </c>
      <c r="C274" s="7" t="s">
        <v>14</v>
      </c>
      <c r="D274" s="7">
        <v>66.5</v>
      </c>
      <c r="E274" s="6">
        <v>66.5</v>
      </c>
      <c r="F274" s="5">
        <f t="shared" si="5"/>
        <v>161</v>
      </c>
      <c r="G274" s="7"/>
    </row>
    <row r="275" spans="1:7" ht="15" customHeight="1">
      <c r="A275" s="7" t="str">
        <f>"任晓亚"</f>
        <v>任晓亚</v>
      </c>
      <c r="B275" s="7">
        <v>20190606</v>
      </c>
      <c r="C275" s="7" t="s">
        <v>14</v>
      </c>
      <c r="D275" s="7">
        <v>66</v>
      </c>
      <c r="E275" s="6">
        <v>66</v>
      </c>
      <c r="F275" s="5">
        <f t="shared" si="5"/>
        <v>167</v>
      </c>
      <c r="G275" s="7"/>
    </row>
    <row r="276" spans="1:7" ht="15" customHeight="1">
      <c r="A276" s="7" t="str">
        <f>"袁书梅"</f>
        <v>袁书梅</v>
      </c>
      <c r="B276" s="7">
        <v>20190812</v>
      </c>
      <c r="C276" s="7" t="s">
        <v>14</v>
      </c>
      <c r="D276" s="7">
        <v>66</v>
      </c>
      <c r="E276" s="6">
        <v>66</v>
      </c>
      <c r="F276" s="5">
        <f t="shared" si="5"/>
        <v>167</v>
      </c>
      <c r="G276" s="7"/>
    </row>
    <row r="277" spans="1:7" ht="15" customHeight="1">
      <c r="A277" s="7" t="str">
        <f>"张一清"</f>
        <v>张一清</v>
      </c>
      <c r="B277" s="7">
        <v>20190912</v>
      </c>
      <c r="C277" s="7" t="s">
        <v>14</v>
      </c>
      <c r="D277" s="7">
        <v>66</v>
      </c>
      <c r="E277" s="6">
        <v>66</v>
      </c>
      <c r="F277" s="5">
        <f t="shared" si="5"/>
        <v>167</v>
      </c>
      <c r="G277" s="7"/>
    </row>
    <row r="278" spans="1:7" ht="15" customHeight="1">
      <c r="A278" s="7" t="str">
        <f>"汤勤"</f>
        <v>汤勤</v>
      </c>
      <c r="B278" s="7">
        <v>20190918</v>
      </c>
      <c r="C278" s="7" t="s">
        <v>14</v>
      </c>
      <c r="D278" s="7">
        <v>66</v>
      </c>
      <c r="E278" s="6">
        <v>66</v>
      </c>
      <c r="F278" s="5">
        <f t="shared" si="5"/>
        <v>167</v>
      </c>
      <c r="G278" s="7"/>
    </row>
    <row r="279" spans="1:7" ht="15" customHeight="1">
      <c r="A279" s="7" t="str">
        <f>"何京鄂"</f>
        <v>何京鄂</v>
      </c>
      <c r="B279" s="7">
        <v>20190922</v>
      </c>
      <c r="C279" s="7" t="s">
        <v>14</v>
      </c>
      <c r="D279" s="7">
        <v>66</v>
      </c>
      <c r="E279" s="6">
        <v>66</v>
      </c>
      <c r="F279" s="5">
        <f t="shared" si="5"/>
        <v>167</v>
      </c>
      <c r="G279" s="7"/>
    </row>
    <row r="280" spans="1:7" ht="15" customHeight="1">
      <c r="A280" s="7" t="str">
        <f>"郑雅午"</f>
        <v>郑雅午</v>
      </c>
      <c r="B280" s="7">
        <v>20191111</v>
      </c>
      <c r="C280" s="7" t="s">
        <v>14</v>
      </c>
      <c r="D280" s="7">
        <v>66</v>
      </c>
      <c r="E280" s="6">
        <v>66</v>
      </c>
      <c r="F280" s="5">
        <f t="shared" si="5"/>
        <v>167</v>
      </c>
      <c r="G280" s="7"/>
    </row>
    <row r="281" spans="1:7" ht="15" customHeight="1">
      <c r="A281" s="7" t="str">
        <f>"赵雨楠"</f>
        <v>赵雨楠</v>
      </c>
      <c r="B281" s="7">
        <v>20191115</v>
      </c>
      <c r="C281" s="7" t="s">
        <v>14</v>
      </c>
      <c r="D281" s="7">
        <v>66</v>
      </c>
      <c r="E281" s="6">
        <v>66</v>
      </c>
      <c r="F281" s="5">
        <f t="shared" si="5"/>
        <v>167</v>
      </c>
      <c r="G281" s="7"/>
    </row>
    <row r="282" spans="1:7" ht="15" customHeight="1">
      <c r="A282" s="7" t="str">
        <f>"刘娣"</f>
        <v>刘娣</v>
      </c>
      <c r="B282" s="7">
        <v>20190830</v>
      </c>
      <c r="C282" s="7" t="s">
        <v>14</v>
      </c>
      <c r="D282" s="7">
        <v>65.5</v>
      </c>
      <c r="E282" s="6">
        <v>65.5</v>
      </c>
      <c r="F282" s="5">
        <f t="shared" si="5"/>
        <v>174</v>
      </c>
      <c r="G282" s="7"/>
    </row>
    <row r="283" spans="1:7" ht="15" customHeight="1">
      <c r="A283" s="7" t="str">
        <f>"董倍昂"</f>
        <v>董倍昂</v>
      </c>
      <c r="B283" s="7">
        <v>20190510</v>
      </c>
      <c r="C283" s="7" t="s">
        <v>14</v>
      </c>
      <c r="D283" s="7">
        <v>65</v>
      </c>
      <c r="E283" s="6">
        <v>65</v>
      </c>
      <c r="F283" s="5">
        <f t="shared" si="5"/>
        <v>175</v>
      </c>
      <c r="G283" s="7"/>
    </row>
    <row r="284" spans="1:7" ht="15" customHeight="1">
      <c r="A284" s="7" t="str">
        <f>"王林琳"</f>
        <v>王林琳</v>
      </c>
      <c r="B284" s="7">
        <v>20190612</v>
      </c>
      <c r="C284" s="7" t="s">
        <v>14</v>
      </c>
      <c r="D284" s="7">
        <v>65</v>
      </c>
      <c r="E284" s="6">
        <v>65</v>
      </c>
      <c r="F284" s="5">
        <f t="shared" si="5"/>
        <v>175</v>
      </c>
      <c r="G284" s="7"/>
    </row>
    <row r="285" spans="1:7" ht="15" customHeight="1">
      <c r="A285" s="7" t="str">
        <f>"乔丽"</f>
        <v>乔丽</v>
      </c>
      <c r="B285" s="7">
        <v>20191005</v>
      </c>
      <c r="C285" s="7" t="s">
        <v>14</v>
      </c>
      <c r="D285" s="7">
        <v>65</v>
      </c>
      <c r="E285" s="6">
        <v>65</v>
      </c>
      <c r="F285" s="5">
        <f t="shared" si="5"/>
        <v>175</v>
      </c>
      <c r="G285" s="7"/>
    </row>
    <row r="286" spans="1:7" ht="15" customHeight="1">
      <c r="A286" s="7" t="str">
        <f>"骆平"</f>
        <v>骆平</v>
      </c>
      <c r="B286" s="7">
        <v>20191011</v>
      </c>
      <c r="C286" s="7" t="s">
        <v>14</v>
      </c>
      <c r="D286" s="7">
        <v>65</v>
      </c>
      <c r="E286" s="6">
        <v>65</v>
      </c>
      <c r="F286" s="5">
        <f t="shared" si="5"/>
        <v>175</v>
      </c>
      <c r="G286" s="7"/>
    </row>
    <row r="287" spans="1:7" ht="15" customHeight="1">
      <c r="A287" s="11" t="str">
        <f>"乔铎"</f>
        <v>乔铎</v>
      </c>
      <c r="B287" s="11">
        <v>20190610</v>
      </c>
      <c r="C287" s="11" t="s">
        <v>14</v>
      </c>
      <c r="D287" s="11">
        <v>64.5</v>
      </c>
      <c r="E287" s="10">
        <v>64.5</v>
      </c>
      <c r="F287" s="5">
        <f t="shared" si="5"/>
        <v>179</v>
      </c>
      <c r="G287" s="11"/>
    </row>
    <row r="288" spans="1:7" ht="15" customHeight="1">
      <c r="A288" s="7" t="str">
        <f>"罗茜"</f>
        <v>罗茜</v>
      </c>
      <c r="B288" s="7">
        <v>20191003</v>
      </c>
      <c r="C288" s="7" t="s">
        <v>14</v>
      </c>
      <c r="D288" s="7">
        <v>64</v>
      </c>
      <c r="E288" s="6">
        <v>64</v>
      </c>
      <c r="F288" s="5">
        <f t="shared" si="5"/>
        <v>180</v>
      </c>
      <c r="G288" s="7"/>
    </row>
    <row r="289" spans="1:7" ht="15" customHeight="1">
      <c r="A289" s="7" t="str">
        <f>"汪莉"</f>
        <v>汪莉</v>
      </c>
      <c r="B289" s="7">
        <v>20190625</v>
      </c>
      <c r="C289" s="7" t="s">
        <v>14</v>
      </c>
      <c r="D289" s="7">
        <v>63.5</v>
      </c>
      <c r="E289" s="6">
        <v>63.5</v>
      </c>
      <c r="F289" s="5">
        <f t="shared" si="5"/>
        <v>181</v>
      </c>
      <c r="G289" s="7"/>
    </row>
    <row r="290" spans="1:7" ht="15" customHeight="1">
      <c r="A290" s="7" t="str">
        <f>"王茜"</f>
        <v>王茜</v>
      </c>
      <c r="B290" s="7">
        <v>20190704</v>
      </c>
      <c r="C290" s="7" t="s">
        <v>14</v>
      </c>
      <c r="D290" s="7">
        <v>63.5</v>
      </c>
      <c r="E290" s="6">
        <v>63.5</v>
      </c>
      <c r="F290" s="5">
        <f t="shared" si="5"/>
        <v>181</v>
      </c>
      <c r="G290" s="7"/>
    </row>
    <row r="291" spans="1:7" ht="15" customHeight="1">
      <c r="A291" s="7" t="str">
        <f>"焦飒"</f>
        <v>焦飒</v>
      </c>
      <c r="B291" s="7">
        <v>20190706</v>
      </c>
      <c r="C291" s="7" t="s">
        <v>14</v>
      </c>
      <c r="D291" s="7">
        <v>63.5</v>
      </c>
      <c r="E291" s="6">
        <v>63.5</v>
      </c>
      <c r="F291" s="5">
        <f t="shared" si="5"/>
        <v>181</v>
      </c>
      <c r="G291" s="7"/>
    </row>
    <row r="292" spans="1:7" ht="15" customHeight="1">
      <c r="A292" s="7" t="str">
        <f>"张铮"</f>
        <v>张铮</v>
      </c>
      <c r="B292" s="7">
        <v>20190803</v>
      </c>
      <c r="C292" s="7" t="s">
        <v>14</v>
      </c>
      <c r="D292" s="7">
        <v>63.5</v>
      </c>
      <c r="E292" s="6">
        <v>63.5</v>
      </c>
      <c r="F292" s="5">
        <f t="shared" si="5"/>
        <v>181</v>
      </c>
      <c r="G292" s="7"/>
    </row>
    <row r="293" spans="1:7" ht="15" customHeight="1">
      <c r="A293" s="11" t="str">
        <f>"胡晓燕"</f>
        <v>胡晓燕</v>
      </c>
      <c r="B293" s="11">
        <v>20190909</v>
      </c>
      <c r="C293" s="11" t="s">
        <v>14</v>
      </c>
      <c r="D293" s="11">
        <v>63.5</v>
      </c>
      <c r="E293" s="10">
        <v>63.5</v>
      </c>
      <c r="F293" s="5">
        <f t="shared" si="5"/>
        <v>181</v>
      </c>
      <c r="G293" s="11"/>
    </row>
    <row r="294" spans="1:7" ht="15" customHeight="1">
      <c r="A294" s="7" t="str">
        <f>"赵旭"</f>
        <v>赵旭</v>
      </c>
      <c r="B294" s="7">
        <v>20190913</v>
      </c>
      <c r="C294" s="7" t="s">
        <v>14</v>
      </c>
      <c r="D294" s="7">
        <v>63.5</v>
      </c>
      <c r="E294" s="6">
        <v>63.5</v>
      </c>
      <c r="F294" s="5">
        <f t="shared" si="5"/>
        <v>181</v>
      </c>
      <c r="G294" s="7"/>
    </row>
    <row r="295" spans="1:7" ht="15" customHeight="1">
      <c r="A295" s="7" t="str">
        <f>"李彦"</f>
        <v>李彦</v>
      </c>
      <c r="B295" s="7">
        <v>20190801</v>
      </c>
      <c r="C295" s="7" t="s">
        <v>14</v>
      </c>
      <c r="D295" s="7">
        <v>63</v>
      </c>
      <c r="E295" s="6">
        <v>63</v>
      </c>
      <c r="F295" s="5">
        <f t="shared" si="5"/>
        <v>187</v>
      </c>
      <c r="G295" s="7"/>
    </row>
    <row r="296" spans="1:7" ht="15" customHeight="1">
      <c r="A296" s="7" t="str">
        <f>"孙洁颖"</f>
        <v>孙洁颖</v>
      </c>
      <c r="B296" s="7">
        <v>20190829</v>
      </c>
      <c r="C296" s="7" t="s">
        <v>14</v>
      </c>
      <c r="D296" s="7">
        <v>63</v>
      </c>
      <c r="E296" s="6">
        <v>63</v>
      </c>
      <c r="F296" s="5">
        <f t="shared" si="5"/>
        <v>187</v>
      </c>
      <c r="G296" s="7"/>
    </row>
    <row r="297" spans="1:7" ht="15" customHeight="1">
      <c r="A297" s="7" t="str">
        <f>"张悦"</f>
        <v>张悦</v>
      </c>
      <c r="B297" s="7">
        <v>20190516</v>
      </c>
      <c r="C297" s="7" t="s">
        <v>14</v>
      </c>
      <c r="D297" s="7">
        <v>62.5</v>
      </c>
      <c r="E297" s="6">
        <v>62.5</v>
      </c>
      <c r="F297" s="5">
        <f t="shared" si="5"/>
        <v>189</v>
      </c>
      <c r="G297" s="7"/>
    </row>
    <row r="298" spans="1:7" ht="15" customHeight="1">
      <c r="A298" s="7" t="str">
        <f>"王雪科"</f>
        <v>王雪科</v>
      </c>
      <c r="B298" s="7">
        <v>20190727</v>
      </c>
      <c r="C298" s="7" t="s">
        <v>14</v>
      </c>
      <c r="D298" s="7">
        <v>62.5</v>
      </c>
      <c r="E298" s="6">
        <v>62.5</v>
      </c>
      <c r="F298" s="5">
        <f t="shared" si="5"/>
        <v>189</v>
      </c>
      <c r="G298" s="7"/>
    </row>
    <row r="299" spans="1:7" ht="15" customHeight="1">
      <c r="A299" s="11" t="str">
        <f>"归贝"</f>
        <v>归贝</v>
      </c>
      <c r="B299" s="11">
        <v>20190603</v>
      </c>
      <c r="C299" s="11" t="s">
        <v>14</v>
      </c>
      <c r="D299" s="11">
        <v>61</v>
      </c>
      <c r="E299" s="10">
        <v>61</v>
      </c>
      <c r="F299" s="5">
        <f t="shared" si="5"/>
        <v>191</v>
      </c>
      <c r="G299" s="11"/>
    </row>
    <row r="300" spans="1:7" ht="15" customHeight="1">
      <c r="A300" s="7" t="str">
        <f>"程梦娜"</f>
        <v>程梦娜</v>
      </c>
      <c r="B300" s="7">
        <v>20190714</v>
      </c>
      <c r="C300" s="7" t="s">
        <v>14</v>
      </c>
      <c r="D300" s="7">
        <v>61</v>
      </c>
      <c r="E300" s="6">
        <v>61</v>
      </c>
      <c r="F300" s="5">
        <f t="shared" si="5"/>
        <v>191</v>
      </c>
      <c r="G300" s="7"/>
    </row>
    <row r="301" spans="1:7" ht="15" customHeight="1">
      <c r="A301" s="11" t="str">
        <f>"刘冬新"</f>
        <v>刘冬新</v>
      </c>
      <c r="B301" s="11">
        <v>20190825</v>
      </c>
      <c r="C301" s="11" t="s">
        <v>14</v>
      </c>
      <c r="D301" s="11">
        <v>61</v>
      </c>
      <c r="E301" s="10">
        <v>61</v>
      </c>
      <c r="F301" s="5">
        <f t="shared" ref="F301:F313" si="6">_xlfn.RANK.EQ(E301,$E$109:$E$313)</f>
        <v>191</v>
      </c>
      <c r="G301" s="11"/>
    </row>
    <row r="302" spans="1:7" ht="15" customHeight="1">
      <c r="A302" s="7" t="str">
        <f>"刘亚南"</f>
        <v>刘亚南</v>
      </c>
      <c r="B302" s="7">
        <v>20191029</v>
      </c>
      <c r="C302" s="7" t="s">
        <v>14</v>
      </c>
      <c r="D302" s="7">
        <v>61</v>
      </c>
      <c r="E302" s="6">
        <v>61</v>
      </c>
      <c r="F302" s="5">
        <f t="shared" si="6"/>
        <v>191</v>
      </c>
      <c r="G302" s="7"/>
    </row>
    <row r="303" spans="1:7" ht="15" customHeight="1">
      <c r="A303" s="11" t="str">
        <f>"张帆"</f>
        <v>张帆</v>
      </c>
      <c r="B303" s="11">
        <v>20190529</v>
      </c>
      <c r="C303" s="11" t="s">
        <v>14</v>
      </c>
      <c r="D303" s="11">
        <v>60.5</v>
      </c>
      <c r="E303" s="10">
        <v>60.5</v>
      </c>
      <c r="F303" s="5">
        <f t="shared" si="6"/>
        <v>195</v>
      </c>
      <c r="G303" s="11"/>
    </row>
    <row r="304" spans="1:7" ht="15" customHeight="1">
      <c r="A304" s="7" t="str">
        <f>"陈杰超"</f>
        <v>陈杰超</v>
      </c>
      <c r="B304" s="7">
        <v>20190604</v>
      </c>
      <c r="C304" s="7" t="s">
        <v>14</v>
      </c>
      <c r="D304" s="7">
        <v>60.5</v>
      </c>
      <c r="E304" s="6">
        <v>60.5</v>
      </c>
      <c r="F304" s="5">
        <f t="shared" si="6"/>
        <v>195</v>
      </c>
      <c r="G304" s="7"/>
    </row>
    <row r="305" spans="1:7" ht="15" customHeight="1">
      <c r="A305" s="7" t="str">
        <f>"李沛"</f>
        <v>李沛</v>
      </c>
      <c r="B305" s="7">
        <v>20190626</v>
      </c>
      <c r="C305" s="7" t="s">
        <v>14</v>
      </c>
      <c r="D305" s="7">
        <v>60</v>
      </c>
      <c r="E305" s="6">
        <v>60</v>
      </c>
      <c r="F305" s="5">
        <f t="shared" si="6"/>
        <v>197</v>
      </c>
      <c r="G305" s="7"/>
    </row>
    <row r="306" spans="1:7" ht="15" customHeight="1">
      <c r="A306" s="7" t="str">
        <f>"王云"</f>
        <v>王云</v>
      </c>
      <c r="B306" s="7">
        <v>20190930</v>
      </c>
      <c r="C306" s="7" t="s">
        <v>14</v>
      </c>
      <c r="D306" s="7">
        <v>58.5</v>
      </c>
      <c r="E306" s="6">
        <v>58.5</v>
      </c>
      <c r="F306" s="5">
        <f t="shared" si="6"/>
        <v>198</v>
      </c>
      <c r="G306" s="7"/>
    </row>
    <row r="307" spans="1:7" ht="15" customHeight="1">
      <c r="A307" s="7" t="str">
        <f>"马莉"</f>
        <v>马莉</v>
      </c>
      <c r="B307" s="7">
        <v>20190828</v>
      </c>
      <c r="C307" s="7" t="s">
        <v>14</v>
      </c>
      <c r="D307" s="7">
        <v>55.5</v>
      </c>
      <c r="E307" s="6">
        <v>55.5</v>
      </c>
      <c r="F307" s="5">
        <f t="shared" si="6"/>
        <v>199</v>
      </c>
      <c r="G307" s="7"/>
    </row>
    <row r="308" spans="1:7" ht="15" customHeight="1">
      <c r="A308" s="7" t="str">
        <f>"孔媛媛"</f>
        <v>孔媛媛</v>
      </c>
      <c r="B308" s="7">
        <v>20191124</v>
      </c>
      <c r="C308" s="7" t="s">
        <v>14</v>
      </c>
      <c r="D308" s="7">
        <v>55.5</v>
      </c>
      <c r="E308" s="6">
        <v>55.5</v>
      </c>
      <c r="F308" s="5">
        <f t="shared" si="6"/>
        <v>199</v>
      </c>
      <c r="G308" s="7"/>
    </row>
    <row r="309" spans="1:7" ht="15" customHeight="1">
      <c r="A309" s="7" t="str">
        <f>"李梦凡"</f>
        <v>李梦凡</v>
      </c>
      <c r="B309" s="7">
        <v>20191106</v>
      </c>
      <c r="C309" s="7" t="s">
        <v>14</v>
      </c>
      <c r="D309" s="7">
        <v>55</v>
      </c>
      <c r="E309" s="6">
        <v>55</v>
      </c>
      <c r="F309" s="5">
        <f t="shared" si="6"/>
        <v>201</v>
      </c>
      <c r="G309" s="7"/>
    </row>
    <row r="310" spans="1:7" ht="15" customHeight="1">
      <c r="A310" s="7" t="str">
        <f>"白璐"</f>
        <v>白璐</v>
      </c>
      <c r="B310" s="7">
        <v>20191107</v>
      </c>
      <c r="C310" s="7" t="s">
        <v>14</v>
      </c>
      <c r="D310" s="7">
        <v>55</v>
      </c>
      <c r="E310" s="6">
        <v>55</v>
      </c>
      <c r="F310" s="5">
        <f t="shared" si="6"/>
        <v>201</v>
      </c>
      <c r="G310" s="7"/>
    </row>
    <row r="311" spans="1:7" ht="15" customHeight="1">
      <c r="A311" s="11" t="str">
        <f>"熊紫荆"</f>
        <v>熊紫荆</v>
      </c>
      <c r="B311" s="11">
        <v>20190919</v>
      </c>
      <c r="C311" s="11" t="s">
        <v>14</v>
      </c>
      <c r="D311" s="11">
        <v>54</v>
      </c>
      <c r="E311" s="10">
        <v>54</v>
      </c>
      <c r="F311" s="5">
        <f t="shared" si="6"/>
        <v>203</v>
      </c>
      <c r="G311" s="11"/>
    </row>
    <row r="312" spans="1:7" ht="15" customHeight="1">
      <c r="A312" s="7" t="str">
        <f>"王聪慧"</f>
        <v>王聪慧</v>
      </c>
      <c r="B312" s="7">
        <v>20191101</v>
      </c>
      <c r="C312" s="7" t="s">
        <v>14</v>
      </c>
      <c r="D312" s="7">
        <v>51.5</v>
      </c>
      <c r="E312" s="6">
        <v>51.5</v>
      </c>
      <c r="F312" s="5">
        <f t="shared" si="6"/>
        <v>204</v>
      </c>
      <c r="G312" s="7"/>
    </row>
    <row r="313" spans="1:7" ht="15" customHeight="1">
      <c r="A313" s="7" t="str">
        <f>"王苧"</f>
        <v>王苧</v>
      </c>
      <c r="B313" s="7">
        <v>20191203</v>
      </c>
      <c r="C313" s="7" t="s">
        <v>14</v>
      </c>
      <c r="D313" s="7">
        <v>51</v>
      </c>
      <c r="E313" s="6">
        <v>51</v>
      </c>
      <c r="F313" s="5">
        <f t="shared" si="6"/>
        <v>205</v>
      </c>
      <c r="G313" s="7"/>
    </row>
    <row r="314" spans="1:7" ht="15" customHeight="1">
      <c r="A314" s="7" t="str">
        <f>"田亚"</f>
        <v>田亚</v>
      </c>
      <c r="B314" s="7">
        <v>20190607</v>
      </c>
      <c r="C314" s="7" t="s">
        <v>14</v>
      </c>
      <c r="D314" s="7">
        <v>0</v>
      </c>
      <c r="E314" s="6">
        <v>0</v>
      </c>
      <c r="F314" s="5"/>
      <c r="G314" s="7" t="s">
        <v>0</v>
      </c>
    </row>
    <row r="315" spans="1:7" ht="15" customHeight="1">
      <c r="A315" s="7" t="str">
        <f>"杜焕"</f>
        <v>杜焕</v>
      </c>
      <c r="B315" s="7">
        <v>20190914</v>
      </c>
      <c r="C315" s="7" t="s">
        <v>14</v>
      </c>
      <c r="D315" s="7">
        <v>0</v>
      </c>
      <c r="E315" s="6">
        <v>0</v>
      </c>
      <c r="F315" s="5"/>
      <c r="G315" s="7" t="s">
        <v>0</v>
      </c>
    </row>
    <row r="316" spans="1:7" ht="15" customHeight="1">
      <c r="A316" s="11" t="str">
        <f>"朱玉筱"</f>
        <v>朱玉筱</v>
      </c>
      <c r="B316" s="11">
        <v>20191013</v>
      </c>
      <c r="C316" s="11" t="s">
        <v>14</v>
      </c>
      <c r="D316" s="11">
        <v>0</v>
      </c>
      <c r="E316" s="10">
        <v>0</v>
      </c>
      <c r="F316" s="9"/>
      <c r="G316" s="11" t="s">
        <v>0</v>
      </c>
    </row>
    <row r="317" spans="1:7" ht="15" customHeight="1">
      <c r="A317" s="7" t="str">
        <f>"于世涵"</f>
        <v>于世涵</v>
      </c>
      <c r="B317" s="7">
        <v>20191028</v>
      </c>
      <c r="C317" s="7" t="s">
        <v>14</v>
      </c>
      <c r="D317" s="7">
        <v>0</v>
      </c>
      <c r="E317" s="6">
        <v>0</v>
      </c>
      <c r="F317" s="5"/>
      <c r="G317" s="7" t="s">
        <v>0</v>
      </c>
    </row>
    <row r="318" spans="1:7" ht="15" customHeight="1">
      <c r="A318" s="7" t="str">
        <f>"史燕燕"</f>
        <v>史燕燕</v>
      </c>
      <c r="B318" s="7">
        <v>20191104</v>
      </c>
      <c r="C318" s="7" t="s">
        <v>14</v>
      </c>
      <c r="D318" s="7">
        <v>0</v>
      </c>
      <c r="E318" s="6">
        <v>0</v>
      </c>
      <c r="F318" s="5"/>
      <c r="G318" s="7" t="s">
        <v>0</v>
      </c>
    </row>
    <row r="319" spans="1:7" ht="15" customHeight="1">
      <c r="A319" s="7" t="str">
        <f>"杨焕东"</f>
        <v>杨焕东</v>
      </c>
      <c r="B319" s="7">
        <v>20191110</v>
      </c>
      <c r="C319" s="7" t="s">
        <v>14</v>
      </c>
      <c r="D319" s="7">
        <v>0</v>
      </c>
      <c r="E319" s="6">
        <v>0</v>
      </c>
      <c r="F319" s="5"/>
      <c r="G319" s="7" t="s">
        <v>0</v>
      </c>
    </row>
    <row r="320" spans="1:7" ht="15" customHeight="1">
      <c r="A320" s="7" t="str">
        <f>"刘燕"</f>
        <v>刘燕</v>
      </c>
      <c r="B320" s="7">
        <v>20191112</v>
      </c>
      <c r="C320" s="7" t="s">
        <v>14</v>
      </c>
      <c r="D320" s="7">
        <v>0</v>
      </c>
      <c r="E320" s="6">
        <v>0</v>
      </c>
      <c r="F320" s="5"/>
      <c r="G320" s="7" t="s">
        <v>0</v>
      </c>
    </row>
    <row r="321" spans="1:7" ht="15" customHeight="1">
      <c r="A321" s="7" t="str">
        <f>"程晓娣"</f>
        <v>程晓娣</v>
      </c>
      <c r="B321" s="7">
        <v>20191114</v>
      </c>
      <c r="C321" s="7" t="s">
        <v>14</v>
      </c>
      <c r="D321" s="7">
        <v>0</v>
      </c>
      <c r="E321" s="6">
        <v>0</v>
      </c>
      <c r="F321" s="5"/>
      <c r="G321" s="7" t="s">
        <v>0</v>
      </c>
    </row>
    <row r="322" spans="1:7" ht="15" customHeight="1">
      <c r="A322" s="7" t="str">
        <f>"皮露洁"</f>
        <v>皮露洁</v>
      </c>
      <c r="B322" s="7">
        <v>20191122</v>
      </c>
      <c r="C322" s="7" t="s">
        <v>14</v>
      </c>
      <c r="D322" s="7">
        <v>0</v>
      </c>
      <c r="E322" s="6">
        <v>0</v>
      </c>
      <c r="F322" s="5"/>
      <c r="G322" s="7" t="s">
        <v>0</v>
      </c>
    </row>
    <row r="323" spans="1:7" ht="15" customHeight="1">
      <c r="A323" s="7" t="str">
        <f>"鲁玥婵"</f>
        <v>鲁玥婵</v>
      </c>
      <c r="B323" s="7">
        <v>20191127</v>
      </c>
      <c r="C323" s="7" t="s">
        <v>14</v>
      </c>
      <c r="D323" s="7">
        <v>0</v>
      </c>
      <c r="E323" s="6">
        <v>0</v>
      </c>
      <c r="F323" s="5"/>
      <c r="G323" s="7" t="s">
        <v>0</v>
      </c>
    </row>
    <row r="324" spans="1:7" ht="15" customHeight="1">
      <c r="A324" s="7" t="str">
        <f>"徐曼"</f>
        <v>徐曼</v>
      </c>
      <c r="B324" s="7">
        <v>20191306</v>
      </c>
      <c r="C324" s="7" t="s">
        <v>13</v>
      </c>
      <c r="D324" s="7">
        <v>90.5</v>
      </c>
      <c r="E324" s="6">
        <v>90.5</v>
      </c>
      <c r="F324" s="5">
        <f t="shared" ref="F324:F387" si="7">_xlfn.RANK.EQ(E324,$E$324:$E$545)</f>
        <v>1</v>
      </c>
      <c r="G324" s="7"/>
    </row>
    <row r="325" spans="1:7" ht="15" customHeight="1">
      <c r="A325" s="7" t="str">
        <f>"孙维品"</f>
        <v>孙维品</v>
      </c>
      <c r="B325" s="7">
        <v>20191303</v>
      </c>
      <c r="C325" s="7" t="s">
        <v>13</v>
      </c>
      <c r="D325" s="15">
        <v>79.5</v>
      </c>
      <c r="E325" s="16">
        <v>89.5</v>
      </c>
      <c r="F325" s="5">
        <f t="shared" si="7"/>
        <v>2</v>
      </c>
      <c r="G325" s="7"/>
    </row>
    <row r="326" spans="1:7" ht="15" customHeight="1">
      <c r="A326" s="7" t="str">
        <f>"潘娜"</f>
        <v>潘娜</v>
      </c>
      <c r="B326" s="7">
        <v>20191812</v>
      </c>
      <c r="C326" s="7" t="s">
        <v>13</v>
      </c>
      <c r="D326" s="7">
        <v>85</v>
      </c>
      <c r="E326" s="6">
        <v>85</v>
      </c>
      <c r="F326" s="5">
        <f t="shared" si="7"/>
        <v>3</v>
      </c>
      <c r="G326" s="7"/>
    </row>
    <row r="327" spans="1:7" ht="15" customHeight="1">
      <c r="A327" s="7" t="str">
        <f>"李迎仙"</f>
        <v>李迎仙</v>
      </c>
      <c r="B327" s="7">
        <v>20191921</v>
      </c>
      <c r="C327" s="7" t="s">
        <v>13</v>
      </c>
      <c r="D327" s="7">
        <v>85</v>
      </c>
      <c r="E327" s="6">
        <v>85</v>
      </c>
      <c r="F327" s="5">
        <f t="shared" si="7"/>
        <v>3</v>
      </c>
      <c r="G327" s="7"/>
    </row>
    <row r="328" spans="1:7" ht="15" customHeight="1">
      <c r="A328" s="7" t="str">
        <f>"段苏倩"</f>
        <v>段苏倩</v>
      </c>
      <c r="B328" s="7">
        <v>20191414</v>
      </c>
      <c r="C328" s="7" t="s">
        <v>13</v>
      </c>
      <c r="D328" s="7">
        <v>84.5</v>
      </c>
      <c r="E328" s="6">
        <v>84.5</v>
      </c>
      <c r="F328" s="5">
        <f t="shared" si="7"/>
        <v>5</v>
      </c>
      <c r="G328" s="7"/>
    </row>
    <row r="329" spans="1:7" ht="15" customHeight="1">
      <c r="A329" s="7" t="str">
        <f>"屈江"</f>
        <v>屈江</v>
      </c>
      <c r="B329" s="7">
        <v>20191929</v>
      </c>
      <c r="C329" s="7" t="s">
        <v>13</v>
      </c>
      <c r="D329" s="7">
        <v>84.5</v>
      </c>
      <c r="E329" s="6">
        <v>84.5</v>
      </c>
      <c r="F329" s="5">
        <f t="shared" si="7"/>
        <v>5</v>
      </c>
      <c r="G329" s="7"/>
    </row>
    <row r="330" spans="1:7" ht="15" customHeight="1">
      <c r="A330" s="7" t="str">
        <f>"梁尧"</f>
        <v>梁尧</v>
      </c>
      <c r="B330" s="7">
        <v>20191909</v>
      </c>
      <c r="C330" s="7" t="s">
        <v>13</v>
      </c>
      <c r="D330" s="7">
        <v>84</v>
      </c>
      <c r="E330" s="6">
        <v>84</v>
      </c>
      <c r="F330" s="5">
        <f t="shared" si="7"/>
        <v>7</v>
      </c>
      <c r="G330" s="7"/>
    </row>
    <row r="331" spans="1:7" ht="15" customHeight="1">
      <c r="A331" s="7" t="str">
        <f>"王玲玲"</f>
        <v>王玲玲</v>
      </c>
      <c r="B331" s="7">
        <v>20191207</v>
      </c>
      <c r="C331" s="7" t="s">
        <v>13</v>
      </c>
      <c r="D331" s="7">
        <v>83.5</v>
      </c>
      <c r="E331" s="6">
        <v>83.5</v>
      </c>
      <c r="F331" s="5">
        <f t="shared" si="7"/>
        <v>8</v>
      </c>
      <c r="G331" s="7"/>
    </row>
    <row r="332" spans="1:7" ht="15" customHeight="1">
      <c r="A332" s="7" t="str">
        <f>"任晓晨"</f>
        <v>任晓晨</v>
      </c>
      <c r="B332" s="7">
        <v>20191604</v>
      </c>
      <c r="C332" s="7" t="s">
        <v>13</v>
      </c>
      <c r="D332" s="7">
        <v>83.5</v>
      </c>
      <c r="E332" s="6">
        <v>83.5</v>
      </c>
      <c r="F332" s="5">
        <f t="shared" si="7"/>
        <v>8</v>
      </c>
      <c r="G332" s="7"/>
    </row>
    <row r="333" spans="1:7" ht="15" customHeight="1">
      <c r="A333" s="7" t="str">
        <f>"何航"</f>
        <v>何航</v>
      </c>
      <c r="B333" s="7">
        <v>20191718</v>
      </c>
      <c r="C333" s="7" t="s">
        <v>13</v>
      </c>
      <c r="D333" s="15">
        <v>73.5</v>
      </c>
      <c r="E333" s="16">
        <v>83.5</v>
      </c>
      <c r="F333" s="5">
        <f t="shared" si="7"/>
        <v>8</v>
      </c>
      <c r="G333" s="7"/>
    </row>
    <row r="334" spans="1:7" ht="15" customHeight="1">
      <c r="A334" s="7" t="str">
        <f>"贺欣"</f>
        <v>贺欣</v>
      </c>
      <c r="B334" s="7">
        <v>20191825</v>
      </c>
      <c r="C334" s="7" t="s">
        <v>13</v>
      </c>
      <c r="D334" s="7">
        <v>83</v>
      </c>
      <c r="E334" s="6">
        <v>83</v>
      </c>
      <c r="F334" s="5">
        <f t="shared" si="7"/>
        <v>11</v>
      </c>
      <c r="G334" s="7"/>
    </row>
    <row r="335" spans="1:7" ht="15" customHeight="1">
      <c r="A335" s="7" t="str">
        <f>"陈婷"</f>
        <v>陈婷</v>
      </c>
      <c r="B335" s="7">
        <v>20191210</v>
      </c>
      <c r="C335" s="7" t="s">
        <v>13</v>
      </c>
      <c r="D335" s="7">
        <v>82.5</v>
      </c>
      <c r="E335" s="6">
        <v>82.5</v>
      </c>
      <c r="F335" s="5">
        <f t="shared" si="7"/>
        <v>12</v>
      </c>
      <c r="G335" s="7"/>
    </row>
    <row r="336" spans="1:7" ht="15" customHeight="1">
      <c r="A336" s="7" t="str">
        <f>"刘晓丽"</f>
        <v>刘晓丽</v>
      </c>
      <c r="B336" s="7">
        <v>20191307</v>
      </c>
      <c r="C336" s="7" t="s">
        <v>13</v>
      </c>
      <c r="D336" s="7">
        <v>82.5</v>
      </c>
      <c r="E336" s="6">
        <v>82.5</v>
      </c>
      <c r="F336" s="5">
        <f t="shared" si="7"/>
        <v>12</v>
      </c>
      <c r="G336" s="7"/>
    </row>
    <row r="337" spans="1:7" ht="15" customHeight="1">
      <c r="A337" s="7" t="str">
        <f>"樊雅玲"</f>
        <v>樊雅玲</v>
      </c>
      <c r="B337" s="7">
        <v>20191314</v>
      </c>
      <c r="C337" s="7" t="s">
        <v>13</v>
      </c>
      <c r="D337" s="7">
        <v>82.5</v>
      </c>
      <c r="E337" s="6">
        <v>82.5</v>
      </c>
      <c r="F337" s="5">
        <f t="shared" si="7"/>
        <v>12</v>
      </c>
      <c r="G337" s="7"/>
    </row>
    <row r="338" spans="1:7" ht="15" customHeight="1">
      <c r="A338" s="7" t="str">
        <f>"李莹"</f>
        <v>李莹</v>
      </c>
      <c r="B338" s="7">
        <v>20191423</v>
      </c>
      <c r="C338" s="7" t="s">
        <v>13</v>
      </c>
      <c r="D338" s="7">
        <v>82.5</v>
      </c>
      <c r="E338" s="6">
        <v>82.5</v>
      </c>
      <c r="F338" s="5">
        <f t="shared" si="7"/>
        <v>12</v>
      </c>
      <c r="G338" s="7"/>
    </row>
    <row r="339" spans="1:7" ht="15" customHeight="1">
      <c r="A339" s="7" t="str">
        <f>"田亚楠"</f>
        <v>田亚楠</v>
      </c>
      <c r="B339" s="7">
        <v>20191819</v>
      </c>
      <c r="C339" s="7" t="s">
        <v>13</v>
      </c>
      <c r="D339" s="7">
        <v>82.5</v>
      </c>
      <c r="E339" s="6">
        <v>82.5</v>
      </c>
      <c r="F339" s="5">
        <f t="shared" si="7"/>
        <v>12</v>
      </c>
      <c r="G339" s="7"/>
    </row>
    <row r="340" spans="1:7" ht="15" customHeight="1">
      <c r="A340" s="7" t="str">
        <f>"段玉宵"</f>
        <v>段玉宵</v>
      </c>
      <c r="B340" s="7">
        <v>20191905</v>
      </c>
      <c r="C340" s="7" t="s">
        <v>13</v>
      </c>
      <c r="D340" s="7">
        <v>82.5</v>
      </c>
      <c r="E340" s="6">
        <v>82.5</v>
      </c>
      <c r="F340" s="5">
        <f t="shared" si="7"/>
        <v>12</v>
      </c>
      <c r="G340" s="7"/>
    </row>
    <row r="341" spans="1:7" ht="15" customHeight="1">
      <c r="A341" s="7" t="str">
        <f>"王江河"</f>
        <v>王江河</v>
      </c>
      <c r="B341" s="7">
        <v>20192005</v>
      </c>
      <c r="C341" s="7" t="s">
        <v>13</v>
      </c>
      <c r="D341" s="7">
        <v>82.5</v>
      </c>
      <c r="E341" s="6">
        <v>82.5</v>
      </c>
      <c r="F341" s="5">
        <f t="shared" si="7"/>
        <v>12</v>
      </c>
      <c r="G341" s="7"/>
    </row>
    <row r="342" spans="1:7" ht="15" customHeight="1">
      <c r="A342" s="7" t="str">
        <f>"晋晓曈"</f>
        <v>晋晓曈</v>
      </c>
      <c r="B342" s="7">
        <v>20191220</v>
      </c>
      <c r="C342" s="7" t="s">
        <v>13</v>
      </c>
      <c r="D342" s="7">
        <v>82</v>
      </c>
      <c r="E342" s="6">
        <v>82</v>
      </c>
      <c r="F342" s="5">
        <f t="shared" si="7"/>
        <v>19</v>
      </c>
      <c r="G342" s="7"/>
    </row>
    <row r="343" spans="1:7" ht="15" customHeight="1">
      <c r="A343" s="7" t="str">
        <f>"陈京丽"</f>
        <v>陈京丽</v>
      </c>
      <c r="B343" s="7">
        <v>20191228</v>
      </c>
      <c r="C343" s="7" t="s">
        <v>13</v>
      </c>
      <c r="D343" s="7">
        <v>82</v>
      </c>
      <c r="E343" s="6">
        <v>82</v>
      </c>
      <c r="F343" s="5">
        <f t="shared" si="7"/>
        <v>19</v>
      </c>
      <c r="G343" s="7"/>
    </row>
    <row r="344" spans="1:7" ht="15" customHeight="1">
      <c r="A344" s="7" t="str">
        <f>"田珊珊"</f>
        <v>田珊珊</v>
      </c>
      <c r="B344" s="7">
        <v>20191519</v>
      </c>
      <c r="C344" s="7" t="s">
        <v>13</v>
      </c>
      <c r="D344" s="7">
        <v>82</v>
      </c>
      <c r="E344" s="6">
        <v>82</v>
      </c>
      <c r="F344" s="5">
        <f t="shared" si="7"/>
        <v>19</v>
      </c>
      <c r="G344" s="7"/>
    </row>
    <row r="345" spans="1:7" ht="15" customHeight="1">
      <c r="A345" s="7" t="str">
        <f>"刘小宇"</f>
        <v>刘小宇</v>
      </c>
      <c r="B345" s="7">
        <v>20191616</v>
      </c>
      <c r="C345" s="7" t="s">
        <v>13</v>
      </c>
      <c r="D345" s="7">
        <v>82</v>
      </c>
      <c r="E345" s="6">
        <v>82</v>
      </c>
      <c r="F345" s="5">
        <f t="shared" si="7"/>
        <v>19</v>
      </c>
      <c r="G345" s="7"/>
    </row>
    <row r="346" spans="1:7" ht="15" customHeight="1">
      <c r="A346" s="7" t="str">
        <f>"曹丝"</f>
        <v>曹丝</v>
      </c>
      <c r="B346" s="7">
        <v>20191702</v>
      </c>
      <c r="C346" s="7" t="s">
        <v>13</v>
      </c>
      <c r="D346" s="7">
        <v>82</v>
      </c>
      <c r="E346" s="6">
        <v>82</v>
      </c>
      <c r="F346" s="5">
        <f t="shared" si="7"/>
        <v>19</v>
      </c>
      <c r="G346" s="7"/>
    </row>
    <row r="347" spans="1:7" ht="15" customHeight="1">
      <c r="A347" s="7" t="str">
        <f>"张宁"</f>
        <v>张宁</v>
      </c>
      <c r="B347" s="7">
        <v>20191720</v>
      </c>
      <c r="C347" s="7" t="s">
        <v>13</v>
      </c>
      <c r="D347" s="7">
        <v>82</v>
      </c>
      <c r="E347" s="6">
        <v>82</v>
      </c>
      <c r="F347" s="5">
        <f t="shared" si="7"/>
        <v>19</v>
      </c>
      <c r="G347" s="7"/>
    </row>
    <row r="348" spans="1:7" ht="15" customHeight="1">
      <c r="A348" s="7" t="str">
        <f>"赵哲"</f>
        <v>赵哲</v>
      </c>
      <c r="B348" s="7">
        <v>20191727</v>
      </c>
      <c r="C348" s="7" t="s">
        <v>13</v>
      </c>
      <c r="D348" s="7">
        <v>82</v>
      </c>
      <c r="E348" s="6">
        <v>82</v>
      </c>
      <c r="F348" s="5">
        <f t="shared" si="7"/>
        <v>19</v>
      </c>
      <c r="G348" s="7"/>
    </row>
    <row r="349" spans="1:7" ht="15" customHeight="1">
      <c r="A349" s="7" t="str">
        <f>"李晗晗"</f>
        <v>李晗晗</v>
      </c>
      <c r="B349" s="7">
        <v>20191813</v>
      </c>
      <c r="C349" s="7" t="s">
        <v>13</v>
      </c>
      <c r="D349" s="7">
        <v>82</v>
      </c>
      <c r="E349" s="6">
        <v>82</v>
      </c>
      <c r="F349" s="5">
        <f t="shared" si="7"/>
        <v>19</v>
      </c>
      <c r="G349" s="7"/>
    </row>
    <row r="350" spans="1:7" ht="15" customHeight="1">
      <c r="A350" s="7" t="str">
        <f>"王冰"</f>
        <v>王冰</v>
      </c>
      <c r="B350" s="7">
        <v>20191926</v>
      </c>
      <c r="C350" s="7" t="s">
        <v>13</v>
      </c>
      <c r="D350" s="7">
        <v>82</v>
      </c>
      <c r="E350" s="6">
        <v>82</v>
      </c>
      <c r="F350" s="5">
        <f t="shared" si="7"/>
        <v>19</v>
      </c>
      <c r="G350" s="7"/>
    </row>
    <row r="351" spans="1:7" ht="15" customHeight="1">
      <c r="A351" s="7" t="str">
        <f>"刘新"</f>
        <v>刘新</v>
      </c>
      <c r="B351" s="7">
        <v>20191927</v>
      </c>
      <c r="C351" s="7" t="s">
        <v>13</v>
      </c>
      <c r="D351" s="7">
        <v>82</v>
      </c>
      <c r="E351" s="6">
        <v>82</v>
      </c>
      <c r="F351" s="5">
        <f t="shared" si="7"/>
        <v>19</v>
      </c>
      <c r="G351" s="7"/>
    </row>
    <row r="352" spans="1:7" ht="15" customHeight="1">
      <c r="A352" s="7" t="str">
        <f>"刘振华"</f>
        <v>刘振华</v>
      </c>
      <c r="B352" s="7">
        <v>20191509</v>
      </c>
      <c r="C352" s="7" t="s">
        <v>13</v>
      </c>
      <c r="D352" s="7">
        <v>81.5</v>
      </c>
      <c r="E352" s="6">
        <v>81.5</v>
      </c>
      <c r="F352" s="5">
        <f t="shared" si="7"/>
        <v>29</v>
      </c>
      <c r="G352" s="7"/>
    </row>
    <row r="353" spans="1:7" ht="15" customHeight="1">
      <c r="A353" s="7" t="str">
        <f>"邢瑶"</f>
        <v>邢瑶</v>
      </c>
      <c r="B353" s="7">
        <v>20191521</v>
      </c>
      <c r="C353" s="7" t="s">
        <v>13</v>
      </c>
      <c r="D353" s="7">
        <v>81.5</v>
      </c>
      <c r="E353" s="6">
        <v>81.5</v>
      </c>
      <c r="F353" s="5">
        <f t="shared" si="7"/>
        <v>29</v>
      </c>
      <c r="G353" s="7"/>
    </row>
    <row r="354" spans="1:7" ht="15" customHeight="1">
      <c r="A354" s="7" t="str">
        <f>"宋雪玲"</f>
        <v>宋雪玲</v>
      </c>
      <c r="B354" s="7">
        <v>20191611</v>
      </c>
      <c r="C354" s="7" t="s">
        <v>13</v>
      </c>
      <c r="D354" s="7">
        <v>81</v>
      </c>
      <c r="E354" s="6">
        <v>81</v>
      </c>
      <c r="F354" s="5">
        <f t="shared" si="7"/>
        <v>31</v>
      </c>
      <c r="G354" s="7"/>
    </row>
    <row r="355" spans="1:7" ht="15" customHeight="1">
      <c r="A355" s="7" t="str">
        <f>"张璐"</f>
        <v>张璐</v>
      </c>
      <c r="B355" s="7">
        <v>20191614</v>
      </c>
      <c r="C355" s="7" t="s">
        <v>13</v>
      </c>
      <c r="D355" s="7">
        <v>81</v>
      </c>
      <c r="E355" s="6">
        <v>81</v>
      </c>
      <c r="F355" s="5">
        <f t="shared" si="7"/>
        <v>31</v>
      </c>
      <c r="G355" s="7"/>
    </row>
    <row r="356" spans="1:7" ht="15" customHeight="1">
      <c r="A356" s="7" t="str">
        <f>"李丽"</f>
        <v>李丽</v>
      </c>
      <c r="B356" s="7">
        <v>20191801</v>
      </c>
      <c r="C356" s="7" t="s">
        <v>13</v>
      </c>
      <c r="D356" s="7">
        <v>81</v>
      </c>
      <c r="E356" s="6">
        <v>81</v>
      </c>
      <c r="F356" s="5">
        <f t="shared" si="7"/>
        <v>31</v>
      </c>
      <c r="G356" s="7"/>
    </row>
    <row r="357" spans="1:7" ht="15" customHeight="1">
      <c r="A357" s="7" t="str">
        <f>"丁聪宵"</f>
        <v>丁聪宵</v>
      </c>
      <c r="B357" s="7">
        <v>20191615</v>
      </c>
      <c r="C357" s="7" t="s">
        <v>13</v>
      </c>
      <c r="D357" s="7">
        <v>80.5</v>
      </c>
      <c r="E357" s="6">
        <v>80.5</v>
      </c>
      <c r="F357" s="5">
        <f t="shared" si="7"/>
        <v>34</v>
      </c>
      <c r="G357" s="7"/>
    </row>
    <row r="358" spans="1:7" ht="15" customHeight="1">
      <c r="A358" s="7" t="str">
        <f>"归玉洁"</f>
        <v>归玉洁</v>
      </c>
      <c r="B358" s="7">
        <v>20191617</v>
      </c>
      <c r="C358" s="7" t="s">
        <v>13</v>
      </c>
      <c r="D358" s="7">
        <v>80.5</v>
      </c>
      <c r="E358" s="6">
        <v>80.5</v>
      </c>
      <c r="F358" s="5">
        <f t="shared" si="7"/>
        <v>34</v>
      </c>
      <c r="G358" s="7"/>
    </row>
    <row r="359" spans="1:7" ht="15" customHeight="1">
      <c r="A359" s="7" t="str">
        <f>"孙丽莹"</f>
        <v>孙丽莹</v>
      </c>
      <c r="B359" s="7">
        <v>20191223</v>
      </c>
      <c r="C359" s="7" t="s">
        <v>13</v>
      </c>
      <c r="D359" s="7">
        <v>80</v>
      </c>
      <c r="E359" s="6">
        <v>80</v>
      </c>
      <c r="F359" s="5">
        <f t="shared" si="7"/>
        <v>36</v>
      </c>
      <c r="G359" s="7"/>
    </row>
    <row r="360" spans="1:7" ht="15" customHeight="1">
      <c r="A360" s="7" t="str">
        <f>"马玉晗"</f>
        <v>马玉晗</v>
      </c>
      <c r="B360" s="7">
        <v>20191612</v>
      </c>
      <c r="C360" s="7" t="s">
        <v>13</v>
      </c>
      <c r="D360" s="7">
        <v>80</v>
      </c>
      <c r="E360" s="6">
        <v>80</v>
      </c>
      <c r="F360" s="5">
        <f t="shared" si="7"/>
        <v>36</v>
      </c>
      <c r="G360" s="7"/>
    </row>
    <row r="361" spans="1:7" ht="15" customHeight="1">
      <c r="A361" s="7" t="str">
        <f>"冯燕"</f>
        <v>冯燕</v>
      </c>
      <c r="B361" s="7">
        <v>20191817</v>
      </c>
      <c r="C361" s="7" t="s">
        <v>13</v>
      </c>
      <c r="D361" s="7">
        <v>80</v>
      </c>
      <c r="E361" s="6">
        <v>80</v>
      </c>
      <c r="F361" s="5">
        <f t="shared" si="7"/>
        <v>36</v>
      </c>
      <c r="G361" s="7"/>
    </row>
    <row r="362" spans="1:7" ht="15" customHeight="1">
      <c r="A362" s="7" t="str">
        <f>"刘雪"</f>
        <v>刘雪</v>
      </c>
      <c r="B362" s="7">
        <v>20191908</v>
      </c>
      <c r="C362" s="7" t="s">
        <v>13</v>
      </c>
      <c r="D362" s="7">
        <v>80</v>
      </c>
      <c r="E362" s="6">
        <v>80</v>
      </c>
      <c r="F362" s="5">
        <f t="shared" si="7"/>
        <v>36</v>
      </c>
      <c r="G362" s="7"/>
    </row>
    <row r="363" spans="1:7" ht="15" customHeight="1">
      <c r="A363" s="7" t="str">
        <f>"于松远"</f>
        <v>于松远</v>
      </c>
      <c r="B363" s="7">
        <v>20191305</v>
      </c>
      <c r="C363" s="7" t="s">
        <v>13</v>
      </c>
      <c r="D363" s="7">
        <v>79.5</v>
      </c>
      <c r="E363" s="6">
        <v>79.5</v>
      </c>
      <c r="F363" s="5">
        <f t="shared" si="7"/>
        <v>40</v>
      </c>
      <c r="G363" s="7"/>
    </row>
    <row r="364" spans="1:7" ht="15" customHeight="1">
      <c r="A364" s="7" t="str">
        <f>"李雪迪"</f>
        <v>李雪迪</v>
      </c>
      <c r="B364" s="7">
        <v>20191506</v>
      </c>
      <c r="C364" s="7" t="s">
        <v>13</v>
      </c>
      <c r="D364" s="7">
        <v>79.5</v>
      </c>
      <c r="E364" s="6">
        <v>79.5</v>
      </c>
      <c r="F364" s="5">
        <f t="shared" si="7"/>
        <v>40</v>
      </c>
      <c r="G364" s="7"/>
    </row>
    <row r="365" spans="1:7" ht="15" customHeight="1">
      <c r="A365" s="7" t="str">
        <f>"徐洋"</f>
        <v>徐洋</v>
      </c>
      <c r="B365" s="7">
        <v>20191729</v>
      </c>
      <c r="C365" s="7" t="s">
        <v>13</v>
      </c>
      <c r="D365" s="7">
        <v>79.5</v>
      </c>
      <c r="E365" s="6">
        <v>79.5</v>
      </c>
      <c r="F365" s="5">
        <f t="shared" si="7"/>
        <v>40</v>
      </c>
      <c r="G365" s="7"/>
    </row>
    <row r="366" spans="1:7" ht="15" customHeight="1">
      <c r="A366" s="11" t="str">
        <f>"宋荣玉"</f>
        <v>宋荣玉</v>
      </c>
      <c r="B366" s="11">
        <v>20192004</v>
      </c>
      <c r="C366" s="11" t="s">
        <v>13</v>
      </c>
      <c r="D366" s="11">
        <v>79.5</v>
      </c>
      <c r="E366" s="10">
        <v>79.5</v>
      </c>
      <c r="F366" s="5">
        <f t="shared" si="7"/>
        <v>40</v>
      </c>
      <c r="G366" s="11"/>
    </row>
    <row r="367" spans="1:7" ht="15" customHeight="1">
      <c r="A367" s="7" t="str">
        <f>"蔡纪雨"</f>
        <v>蔡纪雨</v>
      </c>
      <c r="B367" s="7">
        <v>20191222</v>
      </c>
      <c r="C367" s="7" t="s">
        <v>13</v>
      </c>
      <c r="D367" s="7">
        <v>79</v>
      </c>
      <c r="E367" s="6">
        <v>79</v>
      </c>
      <c r="F367" s="5">
        <f t="shared" si="7"/>
        <v>44</v>
      </c>
      <c r="G367" s="7"/>
    </row>
    <row r="368" spans="1:7" ht="15" customHeight="1">
      <c r="A368" s="7" t="str">
        <f>"张丽"</f>
        <v>张丽</v>
      </c>
      <c r="B368" s="7">
        <v>20191229</v>
      </c>
      <c r="C368" s="7" t="s">
        <v>13</v>
      </c>
      <c r="D368" s="7">
        <v>79</v>
      </c>
      <c r="E368" s="6">
        <v>79</v>
      </c>
      <c r="F368" s="5">
        <f t="shared" si="7"/>
        <v>44</v>
      </c>
      <c r="G368" s="7"/>
    </row>
    <row r="369" spans="1:7" ht="15" customHeight="1">
      <c r="A369" s="7" t="str">
        <f>"徐紫瑜"</f>
        <v>徐紫瑜</v>
      </c>
      <c r="B369" s="7">
        <v>20191320</v>
      </c>
      <c r="C369" s="7" t="s">
        <v>13</v>
      </c>
      <c r="D369" s="7">
        <v>78.5</v>
      </c>
      <c r="E369" s="6">
        <v>78.5</v>
      </c>
      <c r="F369" s="5">
        <f t="shared" si="7"/>
        <v>46</v>
      </c>
      <c r="G369" s="7"/>
    </row>
    <row r="370" spans="1:7" ht="15" customHeight="1">
      <c r="A370" s="7" t="str">
        <f>"樊彩红"</f>
        <v>樊彩红</v>
      </c>
      <c r="B370" s="7">
        <v>20191401</v>
      </c>
      <c r="C370" s="7" t="s">
        <v>13</v>
      </c>
      <c r="D370" s="7">
        <v>78.5</v>
      </c>
      <c r="E370" s="6">
        <v>78.5</v>
      </c>
      <c r="F370" s="5">
        <f t="shared" si="7"/>
        <v>46</v>
      </c>
      <c r="G370" s="7"/>
    </row>
    <row r="371" spans="1:7" ht="15" customHeight="1">
      <c r="A371" s="7" t="str">
        <f>"宋趁"</f>
        <v>宋趁</v>
      </c>
      <c r="B371" s="7">
        <v>20191424</v>
      </c>
      <c r="C371" s="7" t="s">
        <v>13</v>
      </c>
      <c r="D371" s="7">
        <v>78.5</v>
      </c>
      <c r="E371" s="6">
        <v>78.5</v>
      </c>
      <c r="F371" s="5">
        <f t="shared" si="7"/>
        <v>46</v>
      </c>
      <c r="G371" s="7"/>
    </row>
    <row r="372" spans="1:7" ht="15" customHeight="1">
      <c r="A372" s="7" t="str">
        <f>"邱月月"</f>
        <v>邱月月</v>
      </c>
      <c r="B372" s="7">
        <v>20191525</v>
      </c>
      <c r="C372" s="7" t="s">
        <v>13</v>
      </c>
      <c r="D372" s="7">
        <v>78.5</v>
      </c>
      <c r="E372" s="6">
        <v>78.5</v>
      </c>
      <c r="F372" s="5">
        <f t="shared" si="7"/>
        <v>46</v>
      </c>
      <c r="G372" s="7"/>
    </row>
    <row r="373" spans="1:7" ht="15" customHeight="1">
      <c r="A373" s="7" t="str">
        <f>"张伟丽"</f>
        <v>张伟丽</v>
      </c>
      <c r="B373" s="7">
        <v>20191627</v>
      </c>
      <c r="C373" s="7" t="s">
        <v>13</v>
      </c>
      <c r="D373" s="7">
        <v>78.5</v>
      </c>
      <c r="E373" s="6">
        <v>78.5</v>
      </c>
      <c r="F373" s="5">
        <f t="shared" si="7"/>
        <v>46</v>
      </c>
      <c r="G373" s="7"/>
    </row>
    <row r="374" spans="1:7" ht="15" customHeight="1">
      <c r="A374" s="7" t="str">
        <f>"苏帆"</f>
        <v>苏帆</v>
      </c>
      <c r="B374" s="7">
        <v>20191827</v>
      </c>
      <c r="C374" s="7" t="s">
        <v>13</v>
      </c>
      <c r="D374" s="7">
        <v>78.5</v>
      </c>
      <c r="E374" s="6">
        <v>78.5</v>
      </c>
      <c r="F374" s="5">
        <f t="shared" si="7"/>
        <v>46</v>
      </c>
      <c r="G374" s="7"/>
    </row>
    <row r="375" spans="1:7" ht="15" customHeight="1">
      <c r="A375" s="7" t="str">
        <f>"张满"</f>
        <v>张满</v>
      </c>
      <c r="B375" s="7">
        <v>20191917</v>
      </c>
      <c r="C375" s="7" t="s">
        <v>13</v>
      </c>
      <c r="D375" s="7">
        <v>78.5</v>
      </c>
      <c r="E375" s="6">
        <v>78.5</v>
      </c>
      <c r="F375" s="5">
        <f t="shared" si="7"/>
        <v>46</v>
      </c>
      <c r="G375" s="7"/>
    </row>
    <row r="376" spans="1:7" ht="15" customHeight="1">
      <c r="A376" s="7" t="str">
        <f>"赵金兰"</f>
        <v>赵金兰</v>
      </c>
      <c r="B376" s="7">
        <v>20191810</v>
      </c>
      <c r="C376" s="7" t="s">
        <v>13</v>
      </c>
      <c r="D376" s="15">
        <v>68.5</v>
      </c>
      <c r="E376" s="16">
        <v>78.5</v>
      </c>
      <c r="F376" s="5">
        <f t="shared" si="7"/>
        <v>46</v>
      </c>
      <c r="G376" s="7"/>
    </row>
    <row r="377" spans="1:7" ht="15" customHeight="1">
      <c r="A377" s="7" t="str">
        <f>"王聪"</f>
        <v>王聪</v>
      </c>
      <c r="B377" s="7">
        <v>20191302</v>
      </c>
      <c r="C377" s="7" t="s">
        <v>13</v>
      </c>
      <c r="D377" s="7">
        <v>78</v>
      </c>
      <c r="E377" s="6">
        <v>78</v>
      </c>
      <c r="F377" s="5">
        <f t="shared" si="7"/>
        <v>54</v>
      </c>
      <c r="G377" s="7"/>
    </row>
    <row r="378" spans="1:7" ht="15" customHeight="1">
      <c r="A378" s="7" t="str">
        <f>"耿冬敏"</f>
        <v>耿冬敏</v>
      </c>
      <c r="B378" s="7">
        <v>20191618</v>
      </c>
      <c r="C378" s="7" t="s">
        <v>13</v>
      </c>
      <c r="D378" s="7">
        <v>78</v>
      </c>
      <c r="E378" s="6">
        <v>78</v>
      </c>
      <c r="F378" s="5">
        <f t="shared" si="7"/>
        <v>54</v>
      </c>
      <c r="G378" s="7"/>
    </row>
    <row r="379" spans="1:7" ht="15" customHeight="1">
      <c r="A379" s="7" t="str">
        <f>"杨小燕"</f>
        <v>杨小燕</v>
      </c>
      <c r="B379" s="7">
        <v>20191717</v>
      </c>
      <c r="C379" s="7" t="s">
        <v>13</v>
      </c>
      <c r="D379" s="7">
        <v>78</v>
      </c>
      <c r="E379" s="6">
        <v>78</v>
      </c>
      <c r="F379" s="5">
        <f t="shared" si="7"/>
        <v>54</v>
      </c>
      <c r="G379" s="7"/>
    </row>
    <row r="380" spans="1:7" ht="15" customHeight="1">
      <c r="A380" s="7" t="str">
        <f>"胡梦帆"</f>
        <v>胡梦帆</v>
      </c>
      <c r="B380" s="7">
        <v>20191802</v>
      </c>
      <c r="C380" s="7" t="s">
        <v>13</v>
      </c>
      <c r="D380" s="7">
        <v>78</v>
      </c>
      <c r="E380" s="6">
        <v>78</v>
      </c>
      <c r="F380" s="5">
        <f t="shared" si="7"/>
        <v>54</v>
      </c>
      <c r="G380" s="7"/>
    </row>
    <row r="381" spans="1:7" ht="15" customHeight="1">
      <c r="A381" s="11" t="str">
        <f>"张露"</f>
        <v>张露</v>
      </c>
      <c r="B381" s="11">
        <v>20191230</v>
      </c>
      <c r="C381" s="11" t="s">
        <v>13</v>
      </c>
      <c r="D381" s="11">
        <v>77.5</v>
      </c>
      <c r="E381" s="10">
        <v>77.5</v>
      </c>
      <c r="F381" s="5">
        <f t="shared" si="7"/>
        <v>58</v>
      </c>
      <c r="G381" s="11"/>
    </row>
    <row r="382" spans="1:7" ht="15" customHeight="1">
      <c r="A382" s="7" t="str">
        <f>"谷晓嫒"</f>
        <v>谷晓嫒</v>
      </c>
      <c r="B382" s="7">
        <v>20191428</v>
      </c>
      <c r="C382" s="7" t="s">
        <v>13</v>
      </c>
      <c r="D382" s="7">
        <v>77.5</v>
      </c>
      <c r="E382" s="6">
        <v>77.5</v>
      </c>
      <c r="F382" s="5">
        <f t="shared" si="7"/>
        <v>58</v>
      </c>
      <c r="G382" s="7"/>
    </row>
    <row r="383" spans="1:7" ht="15" customHeight="1">
      <c r="A383" s="7" t="str">
        <f>"曹元康"</f>
        <v>曹元康</v>
      </c>
      <c r="B383" s="7">
        <v>20191513</v>
      </c>
      <c r="C383" s="7" t="s">
        <v>13</v>
      </c>
      <c r="D383" s="7">
        <v>77.5</v>
      </c>
      <c r="E383" s="6">
        <v>77.5</v>
      </c>
      <c r="F383" s="5">
        <f t="shared" si="7"/>
        <v>58</v>
      </c>
      <c r="G383" s="7"/>
    </row>
    <row r="384" spans="1:7" ht="15" customHeight="1">
      <c r="A384" s="7" t="str">
        <f>"姚闪"</f>
        <v>姚闪</v>
      </c>
      <c r="B384" s="7">
        <v>20191516</v>
      </c>
      <c r="C384" s="7" t="s">
        <v>13</v>
      </c>
      <c r="D384" s="7">
        <v>77.5</v>
      </c>
      <c r="E384" s="6">
        <v>77.5</v>
      </c>
      <c r="F384" s="5">
        <f t="shared" si="7"/>
        <v>58</v>
      </c>
      <c r="G384" s="7"/>
    </row>
    <row r="385" spans="1:7" ht="15" customHeight="1">
      <c r="A385" s="7" t="str">
        <f>"韩莹"</f>
        <v>韩莹</v>
      </c>
      <c r="B385" s="7">
        <v>20191517</v>
      </c>
      <c r="C385" s="7" t="s">
        <v>13</v>
      </c>
      <c r="D385" s="7">
        <v>77.5</v>
      </c>
      <c r="E385" s="6">
        <v>77.5</v>
      </c>
      <c r="F385" s="5">
        <f t="shared" si="7"/>
        <v>58</v>
      </c>
      <c r="G385" s="7"/>
    </row>
    <row r="386" spans="1:7" ht="15" customHeight="1">
      <c r="A386" s="7" t="str">
        <f>"朱呈祥"</f>
        <v>朱呈祥</v>
      </c>
      <c r="B386" s="7">
        <v>20191605</v>
      </c>
      <c r="C386" s="7" t="s">
        <v>13</v>
      </c>
      <c r="D386" s="7">
        <v>77.5</v>
      </c>
      <c r="E386" s="6">
        <v>77.5</v>
      </c>
      <c r="F386" s="5">
        <f t="shared" si="7"/>
        <v>58</v>
      </c>
      <c r="G386" s="7"/>
    </row>
    <row r="387" spans="1:7" ht="15" customHeight="1">
      <c r="A387" s="7" t="str">
        <f>"董小银"</f>
        <v>董小银</v>
      </c>
      <c r="B387" s="7">
        <v>20192006</v>
      </c>
      <c r="C387" s="7" t="s">
        <v>13</v>
      </c>
      <c r="D387" s="7">
        <v>77.5</v>
      </c>
      <c r="E387" s="6">
        <v>77.5</v>
      </c>
      <c r="F387" s="5">
        <f t="shared" si="7"/>
        <v>58</v>
      </c>
      <c r="G387" s="7"/>
    </row>
    <row r="388" spans="1:7" ht="15" customHeight="1">
      <c r="A388" s="11" t="str">
        <f>"王仪雯"</f>
        <v>王仪雯</v>
      </c>
      <c r="B388" s="11">
        <v>20191208</v>
      </c>
      <c r="C388" s="11" t="s">
        <v>13</v>
      </c>
      <c r="D388" s="11">
        <v>77</v>
      </c>
      <c r="E388" s="10">
        <v>77</v>
      </c>
      <c r="F388" s="5">
        <f t="shared" ref="F388:F451" si="8">_xlfn.RANK.EQ(E388,$E$324:$E$545)</f>
        <v>65</v>
      </c>
      <c r="G388" s="11"/>
    </row>
    <row r="389" spans="1:7" ht="15" customHeight="1">
      <c r="A389" s="7" t="str">
        <f>"张楚"</f>
        <v>张楚</v>
      </c>
      <c r="B389" s="7">
        <v>20191426</v>
      </c>
      <c r="C389" s="7" t="s">
        <v>13</v>
      </c>
      <c r="D389" s="7">
        <v>77</v>
      </c>
      <c r="E389" s="6">
        <v>77</v>
      </c>
      <c r="F389" s="5">
        <f t="shared" si="8"/>
        <v>65</v>
      </c>
      <c r="G389" s="7"/>
    </row>
    <row r="390" spans="1:7" ht="15" customHeight="1">
      <c r="A390" s="7" t="str">
        <f>"岳雪丹"</f>
        <v>岳雪丹</v>
      </c>
      <c r="B390" s="7">
        <v>20191522</v>
      </c>
      <c r="C390" s="7" t="s">
        <v>13</v>
      </c>
      <c r="D390" s="7">
        <v>77</v>
      </c>
      <c r="E390" s="6">
        <v>77</v>
      </c>
      <c r="F390" s="5">
        <f t="shared" si="8"/>
        <v>65</v>
      </c>
      <c r="G390" s="7"/>
    </row>
    <row r="391" spans="1:7" ht="15" customHeight="1">
      <c r="A391" s="7" t="str">
        <f>"孟丛"</f>
        <v>孟丛</v>
      </c>
      <c r="B391" s="7">
        <v>20191301</v>
      </c>
      <c r="C391" s="7" t="s">
        <v>13</v>
      </c>
      <c r="D391" s="7">
        <v>76.5</v>
      </c>
      <c r="E391" s="6">
        <v>76.5</v>
      </c>
      <c r="F391" s="5">
        <f t="shared" si="8"/>
        <v>68</v>
      </c>
      <c r="G391" s="7"/>
    </row>
    <row r="392" spans="1:7" ht="15" customHeight="1">
      <c r="A392" s="7" t="str">
        <f>"蒋雯雯"</f>
        <v>蒋雯雯</v>
      </c>
      <c r="B392" s="7">
        <v>20191318</v>
      </c>
      <c r="C392" s="7" t="s">
        <v>13</v>
      </c>
      <c r="D392" s="7">
        <v>76.5</v>
      </c>
      <c r="E392" s="6">
        <v>76.5</v>
      </c>
      <c r="F392" s="5">
        <f t="shared" si="8"/>
        <v>68</v>
      </c>
      <c r="G392" s="7"/>
    </row>
    <row r="393" spans="1:7" ht="15" customHeight="1">
      <c r="A393" s="7" t="str">
        <f>"张苗苗"</f>
        <v>张苗苗</v>
      </c>
      <c r="B393" s="7">
        <v>20191417</v>
      </c>
      <c r="C393" s="7" t="s">
        <v>13</v>
      </c>
      <c r="D393" s="7">
        <v>76.5</v>
      </c>
      <c r="E393" s="6">
        <v>76.5</v>
      </c>
      <c r="F393" s="5">
        <f t="shared" si="8"/>
        <v>68</v>
      </c>
      <c r="G393" s="7"/>
    </row>
    <row r="394" spans="1:7" ht="15" customHeight="1">
      <c r="A394" s="7" t="str">
        <f>"吴震"</f>
        <v>吴震</v>
      </c>
      <c r="B394" s="7">
        <v>20191422</v>
      </c>
      <c r="C394" s="7" t="s">
        <v>13</v>
      </c>
      <c r="D394" s="7">
        <v>76.5</v>
      </c>
      <c r="E394" s="6">
        <v>76.5</v>
      </c>
      <c r="F394" s="5">
        <f t="shared" si="8"/>
        <v>68</v>
      </c>
      <c r="G394" s="7"/>
    </row>
    <row r="395" spans="1:7" ht="15" customHeight="1">
      <c r="A395" s="7" t="str">
        <f>"樊翔"</f>
        <v>樊翔</v>
      </c>
      <c r="B395" s="7">
        <v>20191527</v>
      </c>
      <c r="C395" s="7" t="s">
        <v>13</v>
      </c>
      <c r="D395" s="7">
        <v>76.5</v>
      </c>
      <c r="E395" s="6">
        <v>76.5</v>
      </c>
      <c r="F395" s="5">
        <f t="shared" si="8"/>
        <v>68</v>
      </c>
      <c r="G395" s="7"/>
    </row>
    <row r="396" spans="1:7" ht="15" customHeight="1">
      <c r="A396" s="7" t="str">
        <f>"李磊"</f>
        <v>李磊</v>
      </c>
      <c r="B396" s="7">
        <v>20191606</v>
      </c>
      <c r="C396" s="7" t="s">
        <v>13</v>
      </c>
      <c r="D396" s="7">
        <v>76.5</v>
      </c>
      <c r="E396" s="6">
        <v>76.5</v>
      </c>
      <c r="F396" s="5">
        <f t="shared" si="8"/>
        <v>68</v>
      </c>
      <c r="G396" s="7"/>
    </row>
    <row r="397" spans="1:7" ht="15" customHeight="1">
      <c r="A397" s="7" t="str">
        <f>"王玉亭"</f>
        <v>王玉亭</v>
      </c>
      <c r="B397" s="7">
        <v>20191628</v>
      </c>
      <c r="C397" s="7" t="s">
        <v>13</v>
      </c>
      <c r="D397" s="7">
        <v>76.5</v>
      </c>
      <c r="E397" s="6">
        <v>76.5</v>
      </c>
      <c r="F397" s="5">
        <f t="shared" si="8"/>
        <v>68</v>
      </c>
      <c r="G397" s="7"/>
    </row>
    <row r="398" spans="1:7" ht="15" customHeight="1">
      <c r="A398" s="7" t="str">
        <f>"徐瑶瑶"</f>
        <v>徐瑶瑶</v>
      </c>
      <c r="B398" s="7">
        <v>20191923</v>
      </c>
      <c r="C398" s="7" t="s">
        <v>13</v>
      </c>
      <c r="D398" s="7">
        <v>76.5</v>
      </c>
      <c r="E398" s="6">
        <v>76.5</v>
      </c>
      <c r="F398" s="5">
        <f t="shared" si="8"/>
        <v>68</v>
      </c>
      <c r="G398" s="7"/>
    </row>
    <row r="399" spans="1:7" ht="15" customHeight="1">
      <c r="A399" s="7" t="str">
        <f>"刘露"</f>
        <v>刘露</v>
      </c>
      <c r="B399" s="7">
        <v>20191925</v>
      </c>
      <c r="C399" s="7" t="s">
        <v>13</v>
      </c>
      <c r="D399" s="7">
        <v>76.5</v>
      </c>
      <c r="E399" s="6">
        <v>76.5</v>
      </c>
      <c r="F399" s="5">
        <f t="shared" si="8"/>
        <v>68</v>
      </c>
      <c r="G399" s="7"/>
    </row>
    <row r="400" spans="1:7" ht="15" customHeight="1">
      <c r="A400" s="7" t="str">
        <f>"陶勤勤"</f>
        <v>陶勤勤</v>
      </c>
      <c r="B400" s="7">
        <v>20191328</v>
      </c>
      <c r="C400" s="7" t="s">
        <v>13</v>
      </c>
      <c r="D400" s="7">
        <v>76</v>
      </c>
      <c r="E400" s="6">
        <v>76</v>
      </c>
      <c r="F400" s="5">
        <f t="shared" si="8"/>
        <v>77</v>
      </c>
      <c r="G400" s="7"/>
    </row>
    <row r="401" spans="1:7" ht="15" customHeight="1">
      <c r="A401" s="7" t="str">
        <f>"荀莺莺"</f>
        <v>荀莺莺</v>
      </c>
      <c r="B401" s="7">
        <v>20191607</v>
      </c>
      <c r="C401" s="7" t="s">
        <v>13</v>
      </c>
      <c r="D401" s="7">
        <v>76</v>
      </c>
      <c r="E401" s="6">
        <v>76</v>
      </c>
      <c r="F401" s="5">
        <f t="shared" si="8"/>
        <v>77</v>
      </c>
      <c r="G401" s="7"/>
    </row>
    <row r="402" spans="1:7" ht="15" customHeight="1">
      <c r="A402" s="7" t="str">
        <f>"李玲玲"</f>
        <v>李玲玲</v>
      </c>
      <c r="B402" s="7">
        <v>20191728</v>
      </c>
      <c r="C402" s="7" t="s">
        <v>13</v>
      </c>
      <c r="D402" s="7">
        <v>76</v>
      </c>
      <c r="E402" s="6">
        <v>76</v>
      </c>
      <c r="F402" s="5">
        <f t="shared" si="8"/>
        <v>77</v>
      </c>
      <c r="G402" s="7"/>
    </row>
    <row r="403" spans="1:7" ht="15" customHeight="1">
      <c r="A403" s="7" t="str">
        <f>"赵娅"</f>
        <v>赵娅</v>
      </c>
      <c r="B403" s="7">
        <v>20191816</v>
      </c>
      <c r="C403" s="7" t="s">
        <v>13</v>
      </c>
      <c r="D403" s="7">
        <v>76</v>
      </c>
      <c r="E403" s="6">
        <v>76</v>
      </c>
      <c r="F403" s="5">
        <f t="shared" si="8"/>
        <v>77</v>
      </c>
      <c r="G403" s="7"/>
    </row>
    <row r="404" spans="1:7" ht="15" customHeight="1">
      <c r="A404" s="7" t="str">
        <f>"宋迪"</f>
        <v>宋迪</v>
      </c>
      <c r="B404" s="7">
        <v>20191227</v>
      </c>
      <c r="C404" s="7" t="s">
        <v>13</v>
      </c>
      <c r="D404" s="7">
        <v>75.5</v>
      </c>
      <c r="E404" s="6">
        <v>75.5</v>
      </c>
      <c r="F404" s="5">
        <f t="shared" si="8"/>
        <v>81</v>
      </c>
      <c r="G404" s="7"/>
    </row>
    <row r="405" spans="1:7" ht="15" customHeight="1">
      <c r="A405" s="7" t="str">
        <f>"秦攀攀"</f>
        <v>秦攀攀</v>
      </c>
      <c r="B405" s="7">
        <v>20191421</v>
      </c>
      <c r="C405" s="7" t="s">
        <v>13</v>
      </c>
      <c r="D405" s="7">
        <v>75.5</v>
      </c>
      <c r="E405" s="6">
        <v>75.5</v>
      </c>
      <c r="F405" s="5">
        <f t="shared" si="8"/>
        <v>81</v>
      </c>
      <c r="G405" s="7"/>
    </row>
    <row r="406" spans="1:7" ht="15" customHeight="1">
      <c r="A406" s="7" t="str">
        <f>"田军婷"</f>
        <v>田军婷</v>
      </c>
      <c r="B406" s="7">
        <v>20191504</v>
      </c>
      <c r="C406" s="7" t="s">
        <v>13</v>
      </c>
      <c r="D406" s="7">
        <v>75.5</v>
      </c>
      <c r="E406" s="6">
        <v>75.5</v>
      </c>
      <c r="F406" s="5">
        <f t="shared" si="8"/>
        <v>81</v>
      </c>
      <c r="G406" s="7"/>
    </row>
    <row r="407" spans="1:7" ht="15" customHeight="1">
      <c r="A407" s="7" t="str">
        <f>"王爽"</f>
        <v>王爽</v>
      </c>
      <c r="B407" s="7">
        <v>20191511</v>
      </c>
      <c r="C407" s="7" t="s">
        <v>13</v>
      </c>
      <c r="D407" s="7">
        <v>75.5</v>
      </c>
      <c r="E407" s="6">
        <v>75.5</v>
      </c>
      <c r="F407" s="5">
        <f t="shared" si="8"/>
        <v>81</v>
      </c>
      <c r="G407" s="7"/>
    </row>
    <row r="408" spans="1:7" ht="15" customHeight="1">
      <c r="A408" s="7" t="str">
        <f>"刘雪艳"</f>
        <v>刘雪艳</v>
      </c>
      <c r="B408" s="7">
        <v>20191603</v>
      </c>
      <c r="C408" s="7" t="s">
        <v>13</v>
      </c>
      <c r="D408" s="7">
        <v>75.5</v>
      </c>
      <c r="E408" s="6">
        <v>75.5</v>
      </c>
      <c r="F408" s="5">
        <f t="shared" si="8"/>
        <v>81</v>
      </c>
      <c r="G408" s="7"/>
    </row>
    <row r="409" spans="1:7" ht="15" customHeight="1">
      <c r="A409" s="7" t="str">
        <f>"史梦洁"</f>
        <v>史梦洁</v>
      </c>
      <c r="B409" s="7">
        <v>20191814</v>
      </c>
      <c r="C409" s="7" t="s">
        <v>13</v>
      </c>
      <c r="D409" s="7">
        <v>75.5</v>
      </c>
      <c r="E409" s="6">
        <v>75.5</v>
      </c>
      <c r="F409" s="5">
        <f t="shared" si="8"/>
        <v>81</v>
      </c>
      <c r="G409" s="7"/>
    </row>
    <row r="410" spans="1:7" ht="15" customHeight="1">
      <c r="A410" s="7" t="str">
        <f>"韩苗"</f>
        <v>韩苗</v>
      </c>
      <c r="B410" s="7">
        <v>20191405</v>
      </c>
      <c r="C410" s="7" t="s">
        <v>13</v>
      </c>
      <c r="D410" s="7">
        <v>75</v>
      </c>
      <c r="E410" s="6">
        <v>75</v>
      </c>
      <c r="F410" s="5">
        <f t="shared" si="8"/>
        <v>87</v>
      </c>
      <c r="G410" s="7"/>
    </row>
    <row r="411" spans="1:7" ht="15" customHeight="1">
      <c r="A411" s="11" t="str">
        <f>"李建杰"</f>
        <v>李建杰</v>
      </c>
      <c r="B411" s="11">
        <v>20191413</v>
      </c>
      <c r="C411" s="11" t="s">
        <v>13</v>
      </c>
      <c r="D411" s="11">
        <v>75</v>
      </c>
      <c r="E411" s="10">
        <v>75</v>
      </c>
      <c r="F411" s="5">
        <f t="shared" si="8"/>
        <v>87</v>
      </c>
      <c r="G411" s="11"/>
    </row>
    <row r="412" spans="1:7" ht="15" customHeight="1">
      <c r="A412" s="7" t="str">
        <f>"齐爽"</f>
        <v>齐爽</v>
      </c>
      <c r="B412" s="7">
        <v>20191716</v>
      </c>
      <c r="C412" s="7" t="s">
        <v>13</v>
      </c>
      <c r="D412" s="7">
        <v>75</v>
      </c>
      <c r="E412" s="6">
        <v>75</v>
      </c>
      <c r="F412" s="5">
        <f t="shared" si="8"/>
        <v>87</v>
      </c>
      <c r="G412" s="7"/>
    </row>
    <row r="413" spans="1:7" ht="15" customHeight="1">
      <c r="A413" s="7" t="str">
        <f>"徐瑞倩"</f>
        <v>徐瑞倩</v>
      </c>
      <c r="B413" s="7">
        <v>20191722</v>
      </c>
      <c r="C413" s="7" t="s">
        <v>13</v>
      </c>
      <c r="D413" s="7">
        <v>75</v>
      </c>
      <c r="E413" s="6">
        <v>75</v>
      </c>
      <c r="F413" s="5">
        <f t="shared" si="8"/>
        <v>87</v>
      </c>
      <c r="G413" s="7"/>
    </row>
    <row r="414" spans="1:7" ht="15" customHeight="1">
      <c r="A414" s="7" t="str">
        <f>"李斌"</f>
        <v>李斌</v>
      </c>
      <c r="B414" s="7">
        <v>20191924</v>
      </c>
      <c r="C414" s="7" t="s">
        <v>13</v>
      </c>
      <c r="D414" s="7">
        <v>75</v>
      </c>
      <c r="E414" s="6">
        <v>75</v>
      </c>
      <c r="F414" s="5">
        <f t="shared" si="8"/>
        <v>87</v>
      </c>
      <c r="G414" s="7"/>
    </row>
    <row r="415" spans="1:7" ht="15" customHeight="1">
      <c r="A415" s="7" t="str">
        <f>"邱宁"</f>
        <v>邱宁</v>
      </c>
      <c r="B415" s="7">
        <v>20191316</v>
      </c>
      <c r="C415" s="7" t="s">
        <v>13</v>
      </c>
      <c r="D415" s="7">
        <v>74.5</v>
      </c>
      <c r="E415" s="6">
        <v>74.5</v>
      </c>
      <c r="F415" s="5">
        <f t="shared" si="8"/>
        <v>92</v>
      </c>
      <c r="G415" s="7"/>
    </row>
    <row r="416" spans="1:7" ht="15" customHeight="1">
      <c r="A416" s="7" t="str">
        <f>"高静丽"</f>
        <v>高静丽</v>
      </c>
      <c r="B416" s="7">
        <v>20191621</v>
      </c>
      <c r="C416" s="7" t="s">
        <v>13</v>
      </c>
      <c r="D416" s="7">
        <v>74.5</v>
      </c>
      <c r="E416" s="6">
        <v>74.5</v>
      </c>
      <c r="F416" s="5">
        <f t="shared" si="8"/>
        <v>92</v>
      </c>
      <c r="G416" s="7"/>
    </row>
    <row r="417" spans="1:7" ht="15" customHeight="1">
      <c r="A417" s="7" t="str">
        <f>"李聪颖"</f>
        <v>李聪颖</v>
      </c>
      <c r="B417" s="7">
        <v>20191726</v>
      </c>
      <c r="C417" s="7" t="s">
        <v>13</v>
      </c>
      <c r="D417" s="7">
        <v>74.5</v>
      </c>
      <c r="E417" s="6">
        <v>74.5</v>
      </c>
      <c r="F417" s="5">
        <f t="shared" si="8"/>
        <v>92</v>
      </c>
      <c r="G417" s="7"/>
    </row>
    <row r="418" spans="1:7" ht="15" customHeight="1">
      <c r="A418" s="7" t="str">
        <f>"李梦楠"</f>
        <v>李梦楠</v>
      </c>
      <c r="B418" s="7">
        <v>20191918</v>
      </c>
      <c r="C418" s="7" t="s">
        <v>13</v>
      </c>
      <c r="D418" s="7">
        <v>74.5</v>
      </c>
      <c r="E418" s="6">
        <v>74.5</v>
      </c>
      <c r="F418" s="5">
        <f t="shared" si="8"/>
        <v>92</v>
      </c>
      <c r="G418" s="7"/>
    </row>
    <row r="419" spans="1:7" ht="15" customHeight="1">
      <c r="A419" s="7" t="str">
        <f>"刁心茜"</f>
        <v>刁心茜</v>
      </c>
      <c r="B419" s="7">
        <v>20191608</v>
      </c>
      <c r="C419" s="7" t="s">
        <v>13</v>
      </c>
      <c r="D419" s="7">
        <v>74</v>
      </c>
      <c r="E419" s="6">
        <v>74</v>
      </c>
      <c r="F419" s="5">
        <f t="shared" si="8"/>
        <v>96</v>
      </c>
      <c r="G419" s="7"/>
    </row>
    <row r="420" spans="1:7" ht="15" customHeight="1">
      <c r="A420" s="7" t="str">
        <f>"吴鹏"</f>
        <v>吴鹏</v>
      </c>
      <c r="B420" s="7">
        <v>20191311</v>
      </c>
      <c r="C420" s="7" t="s">
        <v>13</v>
      </c>
      <c r="D420" s="7">
        <v>73.5</v>
      </c>
      <c r="E420" s="6">
        <v>73.5</v>
      </c>
      <c r="F420" s="5">
        <f t="shared" si="8"/>
        <v>97</v>
      </c>
      <c r="G420" s="7"/>
    </row>
    <row r="421" spans="1:7" ht="15" customHeight="1">
      <c r="A421" s="7" t="str">
        <f>"张丽芳"</f>
        <v>张丽芳</v>
      </c>
      <c r="B421" s="7">
        <v>20191312</v>
      </c>
      <c r="C421" s="7" t="s">
        <v>13</v>
      </c>
      <c r="D421" s="7">
        <v>73.5</v>
      </c>
      <c r="E421" s="6">
        <v>73.5</v>
      </c>
      <c r="F421" s="5">
        <f t="shared" si="8"/>
        <v>97</v>
      </c>
      <c r="G421" s="7"/>
    </row>
    <row r="422" spans="1:7" ht="15" customHeight="1">
      <c r="A422" s="7" t="str">
        <f>"王晨"</f>
        <v>王晨</v>
      </c>
      <c r="B422" s="7">
        <v>20191619</v>
      </c>
      <c r="C422" s="7" t="s">
        <v>13</v>
      </c>
      <c r="D422" s="7">
        <v>73.5</v>
      </c>
      <c r="E422" s="6">
        <v>73.5</v>
      </c>
      <c r="F422" s="5">
        <f t="shared" si="8"/>
        <v>97</v>
      </c>
      <c r="G422" s="7"/>
    </row>
    <row r="423" spans="1:7" ht="15" customHeight="1">
      <c r="A423" s="7" t="str">
        <f>"李峥"</f>
        <v>李峥</v>
      </c>
      <c r="B423" s="7">
        <v>20191805</v>
      </c>
      <c r="C423" s="7" t="s">
        <v>13</v>
      </c>
      <c r="D423" s="7">
        <v>73.5</v>
      </c>
      <c r="E423" s="6">
        <v>73.5</v>
      </c>
      <c r="F423" s="5">
        <f t="shared" si="8"/>
        <v>97</v>
      </c>
      <c r="G423" s="7"/>
    </row>
    <row r="424" spans="1:7" ht="15" customHeight="1">
      <c r="A424" s="7" t="str">
        <f>"王芳"</f>
        <v>王芳</v>
      </c>
      <c r="B424" s="7">
        <v>20191403</v>
      </c>
      <c r="C424" s="7" t="s">
        <v>13</v>
      </c>
      <c r="D424" s="7">
        <v>73</v>
      </c>
      <c r="E424" s="6">
        <v>73</v>
      </c>
      <c r="F424" s="5">
        <f t="shared" si="8"/>
        <v>101</v>
      </c>
      <c r="G424" s="7"/>
    </row>
    <row r="425" spans="1:7" ht="15" customHeight="1">
      <c r="A425" s="7" t="str">
        <f>"陈俊睿"</f>
        <v>陈俊睿</v>
      </c>
      <c r="B425" s="7">
        <v>20191411</v>
      </c>
      <c r="C425" s="7" t="s">
        <v>13</v>
      </c>
      <c r="D425" s="7">
        <v>73</v>
      </c>
      <c r="E425" s="6">
        <v>73</v>
      </c>
      <c r="F425" s="5">
        <f t="shared" si="8"/>
        <v>101</v>
      </c>
      <c r="G425" s="7"/>
    </row>
    <row r="426" spans="1:7" ht="15" customHeight="1">
      <c r="A426" s="7" t="str">
        <f>"彭忠杰"</f>
        <v>彭忠杰</v>
      </c>
      <c r="B426" s="7">
        <v>20191708</v>
      </c>
      <c r="C426" s="7" t="s">
        <v>13</v>
      </c>
      <c r="D426" s="7">
        <v>73</v>
      </c>
      <c r="E426" s="6">
        <v>73</v>
      </c>
      <c r="F426" s="5">
        <f t="shared" si="8"/>
        <v>101</v>
      </c>
      <c r="G426" s="7"/>
    </row>
    <row r="427" spans="1:7" ht="15" customHeight="1">
      <c r="A427" s="7" t="str">
        <f>"侯园园"</f>
        <v>侯园园</v>
      </c>
      <c r="B427" s="7">
        <v>20191711</v>
      </c>
      <c r="C427" s="7" t="s">
        <v>13</v>
      </c>
      <c r="D427" s="7">
        <v>73</v>
      </c>
      <c r="E427" s="6">
        <v>73</v>
      </c>
      <c r="F427" s="5">
        <f t="shared" si="8"/>
        <v>101</v>
      </c>
      <c r="G427" s="7"/>
    </row>
    <row r="428" spans="1:7" ht="15" customHeight="1">
      <c r="A428" s="7" t="str">
        <f>"汪飘飘"</f>
        <v>汪飘飘</v>
      </c>
      <c r="B428" s="7">
        <v>20191811</v>
      </c>
      <c r="C428" s="7" t="s">
        <v>13</v>
      </c>
      <c r="D428" s="7">
        <v>73</v>
      </c>
      <c r="E428" s="6">
        <v>73</v>
      </c>
      <c r="F428" s="5">
        <f t="shared" si="8"/>
        <v>101</v>
      </c>
      <c r="G428" s="7"/>
    </row>
    <row r="429" spans="1:7" ht="15" customHeight="1">
      <c r="A429" s="7" t="str">
        <f>"王聪"</f>
        <v>王聪</v>
      </c>
      <c r="B429" s="7">
        <v>20191922</v>
      </c>
      <c r="C429" s="7" t="s">
        <v>13</v>
      </c>
      <c r="D429" s="7">
        <v>73</v>
      </c>
      <c r="E429" s="6">
        <v>73</v>
      </c>
      <c r="F429" s="5">
        <f t="shared" si="8"/>
        <v>101</v>
      </c>
      <c r="G429" s="7"/>
    </row>
    <row r="430" spans="1:7" ht="15" customHeight="1">
      <c r="A430" s="7" t="str">
        <f>"赵亚娟"</f>
        <v>赵亚娟</v>
      </c>
      <c r="B430" s="7">
        <v>20191217</v>
      </c>
      <c r="C430" s="7" t="s">
        <v>13</v>
      </c>
      <c r="D430" s="7">
        <v>72.5</v>
      </c>
      <c r="E430" s="6">
        <v>72.5</v>
      </c>
      <c r="F430" s="5">
        <f t="shared" si="8"/>
        <v>107</v>
      </c>
      <c r="G430" s="7"/>
    </row>
    <row r="431" spans="1:7" ht="15" customHeight="1">
      <c r="A431" s="7" t="str">
        <f>"归新涵"</f>
        <v>归新涵</v>
      </c>
      <c r="B431" s="7">
        <v>20191319</v>
      </c>
      <c r="C431" s="7" t="s">
        <v>13</v>
      </c>
      <c r="D431" s="7">
        <v>72.5</v>
      </c>
      <c r="E431" s="6">
        <v>72.5</v>
      </c>
      <c r="F431" s="5">
        <f t="shared" si="8"/>
        <v>107</v>
      </c>
      <c r="G431" s="7"/>
    </row>
    <row r="432" spans="1:7" ht="15" customHeight="1">
      <c r="A432" s="7" t="str">
        <f>"刘青"</f>
        <v>刘青</v>
      </c>
      <c r="B432" s="7">
        <v>20191407</v>
      </c>
      <c r="C432" s="7" t="s">
        <v>13</v>
      </c>
      <c r="D432" s="7">
        <v>72.5</v>
      </c>
      <c r="E432" s="6">
        <v>72.5</v>
      </c>
      <c r="F432" s="5">
        <f t="shared" si="8"/>
        <v>107</v>
      </c>
      <c r="G432" s="7"/>
    </row>
    <row r="433" spans="1:7" ht="15" customHeight="1">
      <c r="A433" s="7" t="str">
        <f>"陈完月"</f>
        <v>陈完月</v>
      </c>
      <c r="B433" s="7">
        <v>20191430</v>
      </c>
      <c r="C433" s="7" t="s">
        <v>13</v>
      </c>
      <c r="D433" s="7">
        <v>72.5</v>
      </c>
      <c r="E433" s="6">
        <v>72.5</v>
      </c>
      <c r="F433" s="5">
        <f t="shared" si="8"/>
        <v>107</v>
      </c>
      <c r="G433" s="7"/>
    </row>
    <row r="434" spans="1:7" ht="15" customHeight="1">
      <c r="A434" s="7" t="str">
        <f>"鲁明鑫"</f>
        <v>鲁明鑫</v>
      </c>
      <c r="B434" s="7">
        <v>20191528</v>
      </c>
      <c r="C434" s="7" t="s">
        <v>13</v>
      </c>
      <c r="D434" s="7">
        <v>72.5</v>
      </c>
      <c r="E434" s="6">
        <v>72.5</v>
      </c>
      <c r="F434" s="5">
        <f t="shared" si="8"/>
        <v>107</v>
      </c>
      <c r="G434" s="7"/>
    </row>
    <row r="435" spans="1:7" ht="15" customHeight="1">
      <c r="A435" s="7" t="str">
        <f>"赵悦伊"</f>
        <v>赵悦伊</v>
      </c>
      <c r="B435" s="7">
        <v>20191221</v>
      </c>
      <c r="C435" s="7" t="s">
        <v>13</v>
      </c>
      <c r="D435" s="7">
        <v>72</v>
      </c>
      <c r="E435" s="6">
        <v>72</v>
      </c>
      <c r="F435" s="5">
        <f t="shared" si="8"/>
        <v>112</v>
      </c>
      <c r="G435" s="7"/>
    </row>
    <row r="436" spans="1:7" ht="15" customHeight="1">
      <c r="A436" s="7" t="str">
        <f>"曲德玉"</f>
        <v>曲德玉</v>
      </c>
      <c r="B436" s="7">
        <v>20191427</v>
      </c>
      <c r="C436" s="7" t="s">
        <v>13</v>
      </c>
      <c r="D436" s="7">
        <v>72</v>
      </c>
      <c r="E436" s="6">
        <v>72</v>
      </c>
      <c r="F436" s="5">
        <f t="shared" si="8"/>
        <v>112</v>
      </c>
      <c r="G436" s="7"/>
    </row>
    <row r="437" spans="1:7" ht="15" customHeight="1">
      <c r="A437" s="7" t="str">
        <f>"孙婧祎"</f>
        <v>孙婧祎</v>
      </c>
      <c r="B437" s="7">
        <v>20191512</v>
      </c>
      <c r="C437" s="7" t="s">
        <v>13</v>
      </c>
      <c r="D437" s="7">
        <v>72</v>
      </c>
      <c r="E437" s="6">
        <v>72</v>
      </c>
      <c r="F437" s="5">
        <f t="shared" si="8"/>
        <v>112</v>
      </c>
      <c r="G437" s="7"/>
    </row>
    <row r="438" spans="1:7" ht="15" customHeight="1">
      <c r="A438" s="7" t="str">
        <f>"常高洁"</f>
        <v>常高洁</v>
      </c>
      <c r="B438" s="7">
        <v>20191514</v>
      </c>
      <c r="C438" s="7" t="s">
        <v>13</v>
      </c>
      <c r="D438" s="7">
        <v>72</v>
      </c>
      <c r="E438" s="6">
        <v>72</v>
      </c>
      <c r="F438" s="5">
        <f t="shared" si="8"/>
        <v>112</v>
      </c>
      <c r="G438" s="7"/>
    </row>
    <row r="439" spans="1:7" ht="15" customHeight="1">
      <c r="A439" s="7" t="str">
        <f>"乔慧"</f>
        <v>乔慧</v>
      </c>
      <c r="B439" s="7">
        <v>20191724</v>
      </c>
      <c r="C439" s="7" t="s">
        <v>13</v>
      </c>
      <c r="D439" s="7">
        <v>72</v>
      </c>
      <c r="E439" s="6">
        <v>72</v>
      </c>
      <c r="F439" s="5">
        <f t="shared" si="8"/>
        <v>112</v>
      </c>
      <c r="G439" s="7"/>
    </row>
    <row r="440" spans="1:7" ht="15" customHeight="1">
      <c r="A440" s="7" t="str">
        <f>"韩栋"</f>
        <v>韩栋</v>
      </c>
      <c r="B440" s="7">
        <v>20191329</v>
      </c>
      <c r="C440" s="7" t="s">
        <v>13</v>
      </c>
      <c r="D440" s="7">
        <v>71.5</v>
      </c>
      <c r="E440" s="6">
        <v>71.5</v>
      </c>
      <c r="F440" s="5">
        <f t="shared" si="8"/>
        <v>117</v>
      </c>
      <c r="G440" s="7"/>
    </row>
    <row r="441" spans="1:7" ht="15" customHeight="1">
      <c r="A441" s="7" t="str">
        <f>"张向峰"</f>
        <v>张向峰</v>
      </c>
      <c r="B441" s="7">
        <v>20191520</v>
      </c>
      <c r="C441" s="7" t="s">
        <v>13</v>
      </c>
      <c r="D441" s="7">
        <v>71.5</v>
      </c>
      <c r="E441" s="6">
        <v>71.5</v>
      </c>
      <c r="F441" s="5">
        <f t="shared" si="8"/>
        <v>117</v>
      </c>
      <c r="G441" s="7"/>
    </row>
    <row r="442" spans="1:7" ht="15" customHeight="1">
      <c r="A442" s="7" t="str">
        <f>"赵静茹"</f>
        <v>赵静茹</v>
      </c>
      <c r="B442" s="7">
        <v>20191524</v>
      </c>
      <c r="C442" s="7" t="s">
        <v>13</v>
      </c>
      <c r="D442" s="7">
        <v>71.5</v>
      </c>
      <c r="E442" s="6">
        <v>71.5</v>
      </c>
      <c r="F442" s="5">
        <f t="shared" si="8"/>
        <v>117</v>
      </c>
      <c r="G442" s="7"/>
    </row>
    <row r="443" spans="1:7" ht="15" customHeight="1">
      <c r="A443" s="7" t="str">
        <f>"赵蕾"</f>
        <v>赵蕾</v>
      </c>
      <c r="B443" s="7">
        <v>20191624</v>
      </c>
      <c r="C443" s="7" t="s">
        <v>13</v>
      </c>
      <c r="D443" s="7">
        <v>71.5</v>
      </c>
      <c r="E443" s="6">
        <v>71.5</v>
      </c>
      <c r="F443" s="5">
        <f t="shared" si="8"/>
        <v>117</v>
      </c>
      <c r="G443" s="7"/>
    </row>
    <row r="444" spans="1:7" ht="15" customHeight="1">
      <c r="A444" s="7" t="str">
        <f>"张羽"</f>
        <v>张羽</v>
      </c>
      <c r="B444" s="7">
        <v>20191626</v>
      </c>
      <c r="C444" s="7" t="s">
        <v>13</v>
      </c>
      <c r="D444" s="7">
        <v>71.5</v>
      </c>
      <c r="E444" s="6">
        <v>71.5</v>
      </c>
      <c r="F444" s="5">
        <f t="shared" si="8"/>
        <v>117</v>
      </c>
      <c r="G444" s="7"/>
    </row>
    <row r="445" spans="1:7" ht="15" customHeight="1">
      <c r="A445" s="7" t="str">
        <f>"王孟"</f>
        <v>王孟</v>
      </c>
      <c r="B445" s="7">
        <v>20191712</v>
      </c>
      <c r="C445" s="7" t="s">
        <v>13</v>
      </c>
      <c r="D445" s="7">
        <v>71.5</v>
      </c>
      <c r="E445" s="6">
        <v>71.5</v>
      </c>
      <c r="F445" s="5">
        <f t="shared" si="8"/>
        <v>117</v>
      </c>
      <c r="G445" s="7"/>
    </row>
    <row r="446" spans="1:7" ht="15" customHeight="1">
      <c r="A446" s="7" t="str">
        <f>"王婷婷"</f>
        <v>王婷婷</v>
      </c>
      <c r="B446" s="7">
        <v>20191826</v>
      </c>
      <c r="C446" s="7" t="s">
        <v>13</v>
      </c>
      <c r="D446" s="7">
        <v>71.5</v>
      </c>
      <c r="E446" s="6">
        <v>71.5</v>
      </c>
      <c r="F446" s="5">
        <f t="shared" si="8"/>
        <v>117</v>
      </c>
      <c r="G446" s="7"/>
    </row>
    <row r="447" spans="1:7" ht="15" customHeight="1">
      <c r="A447" s="7" t="str">
        <f>"李亚平"</f>
        <v>李亚平</v>
      </c>
      <c r="B447" s="7">
        <v>20191902</v>
      </c>
      <c r="C447" s="7" t="s">
        <v>13</v>
      </c>
      <c r="D447" s="7">
        <v>71.5</v>
      </c>
      <c r="E447" s="6">
        <v>71.5</v>
      </c>
      <c r="F447" s="5">
        <f t="shared" si="8"/>
        <v>117</v>
      </c>
      <c r="G447" s="7"/>
    </row>
    <row r="448" spans="1:7" ht="15" customHeight="1">
      <c r="A448" s="7" t="str">
        <f>"毛静"</f>
        <v>毛静</v>
      </c>
      <c r="B448" s="7">
        <v>20191914</v>
      </c>
      <c r="C448" s="7" t="s">
        <v>13</v>
      </c>
      <c r="D448" s="7">
        <v>71.5</v>
      </c>
      <c r="E448" s="6">
        <v>71.5</v>
      </c>
      <c r="F448" s="5">
        <f t="shared" si="8"/>
        <v>117</v>
      </c>
      <c r="G448" s="7"/>
    </row>
    <row r="449" spans="1:7" ht="15" customHeight="1">
      <c r="A449" s="11" t="str">
        <f>"高俊梦"</f>
        <v>高俊梦</v>
      </c>
      <c r="B449" s="11">
        <v>20192001</v>
      </c>
      <c r="C449" s="11" t="s">
        <v>13</v>
      </c>
      <c r="D449" s="11">
        <v>71.5</v>
      </c>
      <c r="E449" s="10">
        <v>71.5</v>
      </c>
      <c r="F449" s="5">
        <f t="shared" si="8"/>
        <v>117</v>
      </c>
      <c r="G449" s="11"/>
    </row>
    <row r="450" spans="1:7" ht="15" customHeight="1">
      <c r="A450" s="7" t="str">
        <f>"李小红"</f>
        <v>李小红</v>
      </c>
      <c r="B450" s="7">
        <v>20191309</v>
      </c>
      <c r="C450" s="7" t="s">
        <v>13</v>
      </c>
      <c r="D450" s="7">
        <v>71</v>
      </c>
      <c r="E450" s="6">
        <v>71</v>
      </c>
      <c r="F450" s="5">
        <f t="shared" si="8"/>
        <v>127</v>
      </c>
      <c r="G450" s="7"/>
    </row>
    <row r="451" spans="1:7" ht="15" customHeight="1">
      <c r="A451" s="7" t="str">
        <f>"刘飒"</f>
        <v>刘飒</v>
      </c>
      <c r="B451" s="7">
        <v>20191321</v>
      </c>
      <c r="C451" s="7" t="s">
        <v>13</v>
      </c>
      <c r="D451" s="7">
        <v>71</v>
      </c>
      <c r="E451" s="6">
        <v>71</v>
      </c>
      <c r="F451" s="5">
        <f t="shared" si="8"/>
        <v>127</v>
      </c>
      <c r="G451" s="7"/>
    </row>
    <row r="452" spans="1:7" ht="15" customHeight="1">
      <c r="A452" s="7" t="str">
        <f>"曹原"</f>
        <v>曹原</v>
      </c>
      <c r="B452" s="7">
        <v>20191330</v>
      </c>
      <c r="C452" s="7" t="s">
        <v>13</v>
      </c>
      <c r="D452" s="7">
        <v>71</v>
      </c>
      <c r="E452" s="6">
        <v>71</v>
      </c>
      <c r="F452" s="5">
        <f t="shared" ref="F452:F515" si="9">_xlfn.RANK.EQ(E452,$E$324:$E$545)</f>
        <v>127</v>
      </c>
      <c r="G452" s="7"/>
    </row>
    <row r="453" spans="1:7" ht="15" customHeight="1">
      <c r="A453" s="7" t="str">
        <f>"王君"</f>
        <v>王君</v>
      </c>
      <c r="B453" s="7">
        <v>20191416</v>
      </c>
      <c r="C453" s="7" t="s">
        <v>13</v>
      </c>
      <c r="D453" s="7">
        <v>71</v>
      </c>
      <c r="E453" s="6">
        <v>71</v>
      </c>
      <c r="F453" s="5">
        <f t="shared" si="9"/>
        <v>127</v>
      </c>
      <c r="G453" s="7"/>
    </row>
    <row r="454" spans="1:7" ht="15" customHeight="1">
      <c r="A454" s="7" t="str">
        <f>"赵晓展"</f>
        <v>赵晓展</v>
      </c>
      <c r="B454" s="7">
        <v>20191723</v>
      </c>
      <c r="C454" s="7" t="s">
        <v>13</v>
      </c>
      <c r="D454" s="7">
        <v>71</v>
      </c>
      <c r="E454" s="6">
        <v>71</v>
      </c>
      <c r="F454" s="5">
        <f t="shared" si="9"/>
        <v>127</v>
      </c>
      <c r="G454" s="7"/>
    </row>
    <row r="455" spans="1:7" ht="15" customHeight="1">
      <c r="A455" s="7" t="str">
        <f>"庄琳"</f>
        <v>庄琳</v>
      </c>
      <c r="B455" s="7">
        <v>20191815</v>
      </c>
      <c r="C455" s="7" t="s">
        <v>13</v>
      </c>
      <c r="D455" s="7">
        <v>71</v>
      </c>
      <c r="E455" s="6">
        <v>71</v>
      </c>
      <c r="F455" s="5">
        <f t="shared" si="9"/>
        <v>127</v>
      </c>
      <c r="G455" s="7"/>
    </row>
    <row r="456" spans="1:7" ht="15" customHeight="1">
      <c r="A456" s="7" t="str">
        <f>"盛迎楠"</f>
        <v>盛迎楠</v>
      </c>
      <c r="B456" s="7">
        <v>20191820</v>
      </c>
      <c r="C456" s="7" t="s">
        <v>13</v>
      </c>
      <c r="D456" s="7">
        <v>71</v>
      </c>
      <c r="E456" s="6">
        <v>71</v>
      </c>
      <c r="F456" s="5">
        <f t="shared" si="9"/>
        <v>127</v>
      </c>
      <c r="G456" s="7"/>
    </row>
    <row r="457" spans="1:7" ht="15" customHeight="1">
      <c r="A457" s="7" t="str">
        <f>"陈旭堃"</f>
        <v>陈旭堃</v>
      </c>
      <c r="B457" s="7">
        <v>20191216</v>
      </c>
      <c r="C457" s="7" t="s">
        <v>13</v>
      </c>
      <c r="D457" s="7">
        <v>70.5</v>
      </c>
      <c r="E457" s="6">
        <v>70.5</v>
      </c>
      <c r="F457" s="5">
        <f t="shared" si="9"/>
        <v>134</v>
      </c>
      <c r="G457" s="7"/>
    </row>
    <row r="458" spans="1:7" ht="15" customHeight="1">
      <c r="A458" s="7" t="str">
        <f>"张焱"</f>
        <v>张焱</v>
      </c>
      <c r="B458" s="7">
        <v>20191609</v>
      </c>
      <c r="C458" s="7" t="s">
        <v>13</v>
      </c>
      <c r="D458" s="7">
        <v>70.5</v>
      </c>
      <c r="E458" s="6">
        <v>70.5</v>
      </c>
      <c r="F458" s="5">
        <f t="shared" si="9"/>
        <v>134</v>
      </c>
      <c r="G458" s="7"/>
    </row>
    <row r="459" spans="1:7" ht="15" customHeight="1">
      <c r="A459" s="11" t="str">
        <f>"陈培"</f>
        <v>陈培</v>
      </c>
      <c r="B459" s="11">
        <v>20191919</v>
      </c>
      <c r="C459" s="11" t="s">
        <v>13</v>
      </c>
      <c r="D459" s="11">
        <v>70.5</v>
      </c>
      <c r="E459" s="10">
        <v>70.5</v>
      </c>
      <c r="F459" s="5">
        <f t="shared" si="9"/>
        <v>134</v>
      </c>
      <c r="G459" s="11"/>
    </row>
    <row r="460" spans="1:7" ht="15" customHeight="1">
      <c r="A460" s="7" t="str">
        <f>"刘宛"</f>
        <v>刘宛</v>
      </c>
      <c r="B460" s="7">
        <v>20191304</v>
      </c>
      <c r="C460" s="7" t="s">
        <v>13</v>
      </c>
      <c r="D460" s="7">
        <v>70</v>
      </c>
      <c r="E460" s="6">
        <v>70</v>
      </c>
      <c r="F460" s="5">
        <f t="shared" si="9"/>
        <v>137</v>
      </c>
      <c r="G460" s="7"/>
    </row>
    <row r="461" spans="1:7" ht="15" customHeight="1">
      <c r="A461" s="11" t="str">
        <f>"宋一鸣"</f>
        <v>宋一鸣</v>
      </c>
      <c r="B461" s="11">
        <v>20191418</v>
      </c>
      <c r="C461" s="11" t="s">
        <v>13</v>
      </c>
      <c r="D461" s="11">
        <v>70</v>
      </c>
      <c r="E461" s="10">
        <v>70</v>
      </c>
      <c r="F461" s="5">
        <f t="shared" si="9"/>
        <v>137</v>
      </c>
      <c r="G461" s="11"/>
    </row>
    <row r="462" spans="1:7" ht="15" customHeight="1">
      <c r="A462" s="7" t="str">
        <f>"张肖"</f>
        <v>张肖</v>
      </c>
      <c r="B462" s="7">
        <v>20191526</v>
      </c>
      <c r="C462" s="7" t="s">
        <v>13</v>
      </c>
      <c r="D462" s="7">
        <v>70</v>
      </c>
      <c r="E462" s="6">
        <v>70</v>
      </c>
      <c r="F462" s="5">
        <f t="shared" si="9"/>
        <v>137</v>
      </c>
      <c r="G462" s="7"/>
    </row>
    <row r="463" spans="1:7" ht="15" customHeight="1">
      <c r="A463" s="7" t="str">
        <f>"曹满"</f>
        <v>曹满</v>
      </c>
      <c r="B463" s="7">
        <v>20191625</v>
      </c>
      <c r="C463" s="7" t="s">
        <v>13</v>
      </c>
      <c r="D463" s="7">
        <v>70</v>
      </c>
      <c r="E463" s="6">
        <v>70</v>
      </c>
      <c r="F463" s="5">
        <f t="shared" si="9"/>
        <v>137</v>
      </c>
      <c r="G463" s="7"/>
    </row>
    <row r="464" spans="1:7" ht="15" customHeight="1">
      <c r="A464" s="7" t="str">
        <f>"邓莹"</f>
        <v>邓莹</v>
      </c>
      <c r="B464" s="7">
        <v>20191705</v>
      </c>
      <c r="C464" s="7" t="s">
        <v>13</v>
      </c>
      <c r="D464" s="7">
        <v>70</v>
      </c>
      <c r="E464" s="6">
        <v>70</v>
      </c>
      <c r="F464" s="5">
        <f t="shared" si="9"/>
        <v>137</v>
      </c>
      <c r="G464" s="7"/>
    </row>
    <row r="465" spans="1:7" ht="15" customHeight="1">
      <c r="A465" s="7" t="str">
        <f>"李璐"</f>
        <v>李璐</v>
      </c>
      <c r="B465" s="7">
        <v>20191808</v>
      </c>
      <c r="C465" s="7" t="s">
        <v>13</v>
      </c>
      <c r="D465" s="7">
        <v>70</v>
      </c>
      <c r="E465" s="6">
        <v>70</v>
      </c>
      <c r="F465" s="5">
        <f t="shared" si="9"/>
        <v>137</v>
      </c>
      <c r="G465" s="7"/>
    </row>
    <row r="466" spans="1:7" ht="15" customHeight="1">
      <c r="A466" s="7" t="str">
        <f>"王承宛"</f>
        <v>王承宛</v>
      </c>
      <c r="B466" s="7">
        <v>20191818</v>
      </c>
      <c r="C466" s="7" t="s">
        <v>13</v>
      </c>
      <c r="D466" s="7">
        <v>70</v>
      </c>
      <c r="E466" s="6">
        <v>70</v>
      </c>
      <c r="F466" s="5">
        <f t="shared" si="9"/>
        <v>137</v>
      </c>
      <c r="G466" s="7"/>
    </row>
    <row r="467" spans="1:7" ht="15" customHeight="1">
      <c r="A467" s="7" t="str">
        <f>"张倩"</f>
        <v>张倩</v>
      </c>
      <c r="B467" s="7">
        <v>20191225</v>
      </c>
      <c r="C467" s="7" t="s">
        <v>13</v>
      </c>
      <c r="D467" s="7">
        <v>69.5</v>
      </c>
      <c r="E467" s="6">
        <v>69.5</v>
      </c>
      <c r="F467" s="5">
        <f t="shared" si="9"/>
        <v>144</v>
      </c>
      <c r="G467" s="7"/>
    </row>
    <row r="468" spans="1:7" ht="15" customHeight="1">
      <c r="A468" s="7" t="str">
        <f>"张珍"</f>
        <v>张珍</v>
      </c>
      <c r="B468" s="7">
        <v>20191310</v>
      </c>
      <c r="C468" s="7" t="s">
        <v>13</v>
      </c>
      <c r="D468" s="7">
        <v>69.5</v>
      </c>
      <c r="E468" s="6">
        <v>69.5</v>
      </c>
      <c r="F468" s="5">
        <f t="shared" si="9"/>
        <v>144</v>
      </c>
      <c r="G468" s="7"/>
    </row>
    <row r="469" spans="1:7" ht="15" customHeight="1">
      <c r="A469" s="11" t="str">
        <f>"郭明丽"</f>
        <v>郭明丽</v>
      </c>
      <c r="B469" s="11">
        <v>20191315</v>
      </c>
      <c r="C469" s="11" t="s">
        <v>13</v>
      </c>
      <c r="D469" s="11">
        <v>69.5</v>
      </c>
      <c r="E469" s="10">
        <v>69.5</v>
      </c>
      <c r="F469" s="5">
        <f t="shared" si="9"/>
        <v>144</v>
      </c>
      <c r="G469" s="11"/>
    </row>
    <row r="470" spans="1:7" ht="15" customHeight="1">
      <c r="A470" s="7" t="str">
        <f>"丁寒玉"</f>
        <v>丁寒玉</v>
      </c>
      <c r="B470" s="7">
        <v>20191406</v>
      </c>
      <c r="C470" s="7" t="s">
        <v>13</v>
      </c>
      <c r="D470" s="7">
        <v>69.5</v>
      </c>
      <c r="E470" s="6">
        <v>69.5</v>
      </c>
      <c r="F470" s="5">
        <f t="shared" si="9"/>
        <v>144</v>
      </c>
      <c r="G470" s="7"/>
    </row>
    <row r="471" spans="1:7" ht="15" customHeight="1">
      <c r="A471" s="7" t="str">
        <f>"李慧"</f>
        <v>李慧</v>
      </c>
      <c r="B471" s="7">
        <v>20191420</v>
      </c>
      <c r="C471" s="7" t="s">
        <v>13</v>
      </c>
      <c r="D471" s="7">
        <v>69.5</v>
      </c>
      <c r="E471" s="6">
        <v>69.5</v>
      </c>
      <c r="F471" s="5">
        <f t="shared" si="9"/>
        <v>144</v>
      </c>
      <c r="G471" s="7"/>
    </row>
    <row r="472" spans="1:7" ht="15" customHeight="1">
      <c r="A472" s="7" t="str">
        <f>"齐晓涵"</f>
        <v>齐晓涵</v>
      </c>
      <c r="B472" s="7">
        <v>20191601</v>
      </c>
      <c r="C472" s="7" t="s">
        <v>13</v>
      </c>
      <c r="D472" s="7">
        <v>69.5</v>
      </c>
      <c r="E472" s="6">
        <v>69.5</v>
      </c>
      <c r="F472" s="5">
        <f t="shared" si="9"/>
        <v>144</v>
      </c>
      <c r="G472" s="7"/>
    </row>
    <row r="473" spans="1:7" ht="15" customHeight="1">
      <c r="A473" s="7" t="str">
        <f>"李悦"</f>
        <v>李悦</v>
      </c>
      <c r="B473" s="7">
        <v>20191911</v>
      </c>
      <c r="C473" s="7" t="s">
        <v>13</v>
      </c>
      <c r="D473" s="7">
        <v>69.5</v>
      </c>
      <c r="E473" s="6">
        <v>69.5</v>
      </c>
      <c r="F473" s="5">
        <f t="shared" si="9"/>
        <v>144</v>
      </c>
      <c r="G473" s="7"/>
    </row>
    <row r="474" spans="1:7" ht="15" customHeight="1">
      <c r="A474" s="7" t="str">
        <f>"刘冰"</f>
        <v>刘冰</v>
      </c>
      <c r="B474" s="7">
        <v>20191308</v>
      </c>
      <c r="C474" s="7" t="s">
        <v>13</v>
      </c>
      <c r="D474" s="7">
        <v>69</v>
      </c>
      <c r="E474" s="6">
        <v>69</v>
      </c>
      <c r="F474" s="5">
        <f t="shared" si="9"/>
        <v>151</v>
      </c>
      <c r="G474" s="7"/>
    </row>
    <row r="475" spans="1:7" ht="15" customHeight="1">
      <c r="A475" s="7" t="str">
        <f>"丁笑笑"</f>
        <v>丁笑笑</v>
      </c>
      <c r="B475" s="7">
        <v>20191323</v>
      </c>
      <c r="C475" s="7" t="s">
        <v>13</v>
      </c>
      <c r="D475" s="7">
        <v>69</v>
      </c>
      <c r="E475" s="6">
        <v>69</v>
      </c>
      <c r="F475" s="5">
        <f t="shared" si="9"/>
        <v>151</v>
      </c>
      <c r="G475" s="7"/>
    </row>
    <row r="476" spans="1:7" ht="15" customHeight="1">
      <c r="A476" s="7" t="str">
        <f>"张金涵"</f>
        <v>张金涵</v>
      </c>
      <c r="B476" s="7">
        <v>20191412</v>
      </c>
      <c r="C476" s="7" t="s">
        <v>13</v>
      </c>
      <c r="D476" s="7">
        <v>69</v>
      </c>
      <c r="E476" s="6">
        <v>69</v>
      </c>
      <c r="F476" s="5">
        <f t="shared" si="9"/>
        <v>151</v>
      </c>
      <c r="G476" s="7"/>
    </row>
    <row r="477" spans="1:7" ht="15" customHeight="1">
      <c r="A477" s="7" t="str">
        <f>"王倩"</f>
        <v>王倩</v>
      </c>
      <c r="B477" s="7">
        <v>20191415</v>
      </c>
      <c r="C477" s="7" t="s">
        <v>13</v>
      </c>
      <c r="D477" s="7">
        <v>69</v>
      </c>
      <c r="E477" s="6">
        <v>69</v>
      </c>
      <c r="F477" s="5">
        <f t="shared" si="9"/>
        <v>151</v>
      </c>
      <c r="G477" s="7"/>
    </row>
    <row r="478" spans="1:7" ht="15" customHeight="1">
      <c r="A478" s="7" t="str">
        <f>"郭晓林"</f>
        <v>郭晓林</v>
      </c>
      <c r="B478" s="7">
        <v>20191429</v>
      </c>
      <c r="C478" s="7" t="s">
        <v>13</v>
      </c>
      <c r="D478" s="7">
        <v>69</v>
      </c>
      <c r="E478" s="6">
        <v>69</v>
      </c>
      <c r="F478" s="5">
        <f t="shared" si="9"/>
        <v>151</v>
      </c>
      <c r="G478" s="7"/>
    </row>
    <row r="479" spans="1:7" ht="15" customHeight="1">
      <c r="A479" s="7" t="str">
        <f>"李亚平"</f>
        <v>李亚平</v>
      </c>
      <c r="B479" s="7">
        <v>20191920</v>
      </c>
      <c r="C479" s="7" t="s">
        <v>13</v>
      </c>
      <c r="D479" s="7">
        <v>69</v>
      </c>
      <c r="E479" s="6">
        <v>69</v>
      </c>
      <c r="F479" s="5">
        <f t="shared" si="9"/>
        <v>151</v>
      </c>
      <c r="G479" s="7"/>
    </row>
    <row r="480" spans="1:7" ht="15" customHeight="1">
      <c r="A480" s="7" t="str">
        <f>"赵亚楠"</f>
        <v>赵亚楠</v>
      </c>
      <c r="B480" s="7">
        <v>20191215</v>
      </c>
      <c r="C480" s="7" t="s">
        <v>13</v>
      </c>
      <c r="D480" s="7">
        <v>68.5</v>
      </c>
      <c r="E480" s="6">
        <v>68.5</v>
      </c>
      <c r="F480" s="5">
        <f t="shared" si="9"/>
        <v>157</v>
      </c>
      <c r="G480" s="7"/>
    </row>
    <row r="481" spans="1:7" ht="15" customHeight="1">
      <c r="A481" s="7" t="str">
        <f>"梁晨"</f>
        <v>梁晨</v>
      </c>
      <c r="B481" s="7">
        <v>20191218</v>
      </c>
      <c r="C481" s="7" t="s">
        <v>13</v>
      </c>
      <c r="D481" s="7">
        <v>68.5</v>
      </c>
      <c r="E481" s="6">
        <v>68.5</v>
      </c>
      <c r="F481" s="5">
        <f t="shared" si="9"/>
        <v>157</v>
      </c>
      <c r="G481" s="7"/>
    </row>
    <row r="482" spans="1:7" ht="15" customHeight="1">
      <c r="A482" s="7" t="str">
        <f>"杨曼"</f>
        <v>杨曼</v>
      </c>
      <c r="B482" s="7">
        <v>20191523</v>
      </c>
      <c r="C482" s="7" t="s">
        <v>13</v>
      </c>
      <c r="D482" s="7">
        <v>68.5</v>
      </c>
      <c r="E482" s="6">
        <v>68.5</v>
      </c>
      <c r="F482" s="5">
        <f t="shared" si="9"/>
        <v>157</v>
      </c>
      <c r="G482" s="7"/>
    </row>
    <row r="483" spans="1:7" ht="15" customHeight="1">
      <c r="A483" s="7" t="str">
        <f>"樊寅"</f>
        <v>樊寅</v>
      </c>
      <c r="B483" s="7">
        <v>20191701</v>
      </c>
      <c r="C483" s="7" t="s">
        <v>13</v>
      </c>
      <c r="D483" s="7">
        <v>68.5</v>
      </c>
      <c r="E483" s="6">
        <v>68.5</v>
      </c>
      <c r="F483" s="5">
        <f t="shared" si="9"/>
        <v>157</v>
      </c>
      <c r="G483" s="7"/>
    </row>
    <row r="484" spans="1:7" ht="15" customHeight="1">
      <c r="A484" s="7" t="str">
        <f>"曹梦瑶"</f>
        <v>曹梦瑶</v>
      </c>
      <c r="B484" s="7">
        <v>20191715</v>
      </c>
      <c r="C484" s="7" t="s">
        <v>13</v>
      </c>
      <c r="D484" s="7">
        <v>68.5</v>
      </c>
      <c r="E484" s="6">
        <v>68.5</v>
      </c>
      <c r="F484" s="5">
        <f t="shared" si="9"/>
        <v>157</v>
      </c>
      <c r="G484" s="7"/>
    </row>
    <row r="485" spans="1:7" ht="15" customHeight="1">
      <c r="A485" s="7" t="str">
        <f>"许淑婷"</f>
        <v>许淑婷</v>
      </c>
      <c r="B485" s="7">
        <v>20191804</v>
      </c>
      <c r="C485" s="7" t="s">
        <v>13</v>
      </c>
      <c r="D485" s="7">
        <v>68.5</v>
      </c>
      <c r="E485" s="6">
        <v>68.5</v>
      </c>
      <c r="F485" s="5">
        <f t="shared" si="9"/>
        <v>157</v>
      </c>
      <c r="G485" s="7"/>
    </row>
    <row r="486" spans="1:7" ht="15" customHeight="1">
      <c r="A486" s="7" t="str">
        <f>"曹永乐"</f>
        <v>曹永乐</v>
      </c>
      <c r="B486" s="7">
        <v>20191410</v>
      </c>
      <c r="C486" s="7" t="s">
        <v>13</v>
      </c>
      <c r="D486" s="7">
        <v>68</v>
      </c>
      <c r="E486" s="6">
        <v>68</v>
      </c>
      <c r="F486" s="5">
        <f t="shared" si="9"/>
        <v>163</v>
      </c>
      <c r="G486" s="7"/>
    </row>
    <row r="487" spans="1:7" ht="15" customHeight="1">
      <c r="A487" s="7" t="str">
        <f>"黄梦琪"</f>
        <v>黄梦琪</v>
      </c>
      <c r="B487" s="7">
        <v>20191602</v>
      </c>
      <c r="C487" s="7" t="s">
        <v>13</v>
      </c>
      <c r="D487" s="7">
        <v>68</v>
      </c>
      <c r="E487" s="6">
        <v>68</v>
      </c>
      <c r="F487" s="5">
        <f t="shared" si="9"/>
        <v>163</v>
      </c>
      <c r="G487" s="7"/>
    </row>
    <row r="488" spans="1:7" ht="15" customHeight="1">
      <c r="A488" s="7" t="str">
        <f>"曹洋"</f>
        <v>曹洋</v>
      </c>
      <c r="B488" s="7">
        <v>20191613</v>
      </c>
      <c r="C488" s="7" t="s">
        <v>13</v>
      </c>
      <c r="D488" s="7">
        <v>68</v>
      </c>
      <c r="E488" s="6">
        <v>68</v>
      </c>
      <c r="F488" s="5">
        <f t="shared" si="9"/>
        <v>163</v>
      </c>
      <c r="G488" s="7"/>
    </row>
    <row r="489" spans="1:7" ht="15" customHeight="1">
      <c r="A489" s="7" t="str">
        <f>"陈林卓"</f>
        <v>陈林卓</v>
      </c>
      <c r="B489" s="7">
        <v>20191704</v>
      </c>
      <c r="C489" s="7" t="s">
        <v>13</v>
      </c>
      <c r="D489" s="7">
        <v>68</v>
      </c>
      <c r="E489" s="6">
        <v>68</v>
      </c>
      <c r="F489" s="5">
        <f t="shared" si="9"/>
        <v>163</v>
      </c>
      <c r="G489" s="7"/>
    </row>
    <row r="490" spans="1:7" ht="15" customHeight="1">
      <c r="A490" s="7" t="str">
        <f>"李静"</f>
        <v>李静</v>
      </c>
      <c r="B490" s="7">
        <v>20191710</v>
      </c>
      <c r="C490" s="7" t="s">
        <v>13</v>
      </c>
      <c r="D490" s="7">
        <v>68</v>
      </c>
      <c r="E490" s="6">
        <v>68</v>
      </c>
      <c r="F490" s="5">
        <f t="shared" si="9"/>
        <v>163</v>
      </c>
      <c r="G490" s="7"/>
    </row>
    <row r="491" spans="1:7" ht="15" customHeight="1">
      <c r="A491" s="7" t="str">
        <f>"吴聪"</f>
        <v>吴聪</v>
      </c>
      <c r="B491" s="7">
        <v>20191327</v>
      </c>
      <c r="C491" s="7" t="s">
        <v>13</v>
      </c>
      <c r="D491" s="7">
        <v>67.5</v>
      </c>
      <c r="E491" s="6">
        <v>67.5</v>
      </c>
      <c r="F491" s="5">
        <f t="shared" si="9"/>
        <v>168</v>
      </c>
      <c r="G491" s="7"/>
    </row>
    <row r="492" spans="1:7" ht="15" customHeight="1">
      <c r="A492" s="7" t="str">
        <f>"孙河帆"</f>
        <v>孙河帆</v>
      </c>
      <c r="B492" s="7">
        <v>20191623</v>
      </c>
      <c r="C492" s="7" t="s">
        <v>13</v>
      </c>
      <c r="D492" s="7">
        <v>67.5</v>
      </c>
      <c r="E492" s="6">
        <v>67.5</v>
      </c>
      <c r="F492" s="5">
        <f t="shared" si="9"/>
        <v>168</v>
      </c>
      <c r="G492" s="7"/>
    </row>
    <row r="493" spans="1:7" ht="15" customHeight="1">
      <c r="A493" s="7" t="str">
        <f>"陈浩"</f>
        <v>陈浩</v>
      </c>
      <c r="B493" s="7">
        <v>20191313</v>
      </c>
      <c r="C493" s="7" t="s">
        <v>13</v>
      </c>
      <c r="D493" s="7">
        <v>67</v>
      </c>
      <c r="E493" s="6">
        <v>67</v>
      </c>
      <c r="F493" s="5">
        <f t="shared" si="9"/>
        <v>170</v>
      </c>
      <c r="G493" s="7"/>
    </row>
    <row r="494" spans="1:7" ht="15" customHeight="1">
      <c r="A494" s="7" t="str">
        <f>"张永鹏"</f>
        <v>张永鹏</v>
      </c>
      <c r="B494" s="7">
        <v>20191419</v>
      </c>
      <c r="C494" s="7" t="s">
        <v>13</v>
      </c>
      <c r="D494" s="7">
        <v>67</v>
      </c>
      <c r="E494" s="6">
        <v>67</v>
      </c>
      <c r="F494" s="5">
        <f t="shared" si="9"/>
        <v>170</v>
      </c>
      <c r="G494" s="7"/>
    </row>
    <row r="495" spans="1:7" ht="15" customHeight="1">
      <c r="A495" s="7" t="str">
        <f>"赵棉"</f>
        <v>赵棉</v>
      </c>
      <c r="B495" s="7">
        <v>20191713</v>
      </c>
      <c r="C495" s="7" t="s">
        <v>13</v>
      </c>
      <c r="D495" s="7">
        <v>67</v>
      </c>
      <c r="E495" s="6">
        <v>67</v>
      </c>
      <c r="F495" s="5">
        <f t="shared" si="9"/>
        <v>170</v>
      </c>
      <c r="G495" s="7"/>
    </row>
    <row r="496" spans="1:7" ht="15" customHeight="1">
      <c r="A496" s="7" t="str">
        <f>"丁涛"</f>
        <v>丁涛</v>
      </c>
      <c r="B496" s="7">
        <v>20191806</v>
      </c>
      <c r="C496" s="7" t="s">
        <v>13</v>
      </c>
      <c r="D496" s="7">
        <v>67</v>
      </c>
      <c r="E496" s="6">
        <v>67</v>
      </c>
      <c r="F496" s="5">
        <f t="shared" si="9"/>
        <v>170</v>
      </c>
      <c r="G496" s="7"/>
    </row>
    <row r="497" spans="1:7" ht="15" customHeight="1">
      <c r="A497" s="7" t="str">
        <f>"袁聪"</f>
        <v>袁聪</v>
      </c>
      <c r="B497" s="7">
        <v>20191823</v>
      </c>
      <c r="C497" s="7" t="s">
        <v>13</v>
      </c>
      <c r="D497" s="7">
        <v>67</v>
      </c>
      <c r="E497" s="6">
        <v>67</v>
      </c>
      <c r="F497" s="5">
        <f t="shared" si="9"/>
        <v>170</v>
      </c>
      <c r="G497" s="7"/>
    </row>
    <row r="498" spans="1:7" ht="15" customHeight="1">
      <c r="A498" s="7" t="str">
        <f>"时雪莹"</f>
        <v>时雪莹</v>
      </c>
      <c r="B498" s="7">
        <v>20191916</v>
      </c>
      <c r="C498" s="7" t="s">
        <v>13</v>
      </c>
      <c r="D498" s="7">
        <v>67</v>
      </c>
      <c r="E498" s="6">
        <v>67</v>
      </c>
      <c r="F498" s="5">
        <f t="shared" si="9"/>
        <v>170</v>
      </c>
      <c r="G498" s="7"/>
    </row>
    <row r="499" spans="1:7" ht="15" customHeight="1">
      <c r="A499" s="7" t="str">
        <f>"吴彩霞"</f>
        <v>吴彩霞</v>
      </c>
      <c r="B499" s="7">
        <v>20191404</v>
      </c>
      <c r="C499" s="7" t="s">
        <v>13</v>
      </c>
      <c r="D499" s="7">
        <v>66.5</v>
      </c>
      <c r="E499" s="6">
        <v>66.5</v>
      </c>
      <c r="F499" s="5">
        <f t="shared" si="9"/>
        <v>176</v>
      </c>
      <c r="G499" s="7"/>
    </row>
    <row r="500" spans="1:7" ht="15" customHeight="1">
      <c r="A500" s="7" t="str">
        <f>"乔婷"</f>
        <v>乔婷</v>
      </c>
      <c r="B500" s="7">
        <v>20191503</v>
      </c>
      <c r="C500" s="7" t="s">
        <v>13</v>
      </c>
      <c r="D500" s="7">
        <v>66.5</v>
      </c>
      <c r="E500" s="6">
        <v>66.5</v>
      </c>
      <c r="F500" s="5">
        <f t="shared" si="9"/>
        <v>176</v>
      </c>
      <c r="G500" s="7"/>
    </row>
    <row r="501" spans="1:7" ht="15" customHeight="1">
      <c r="A501" s="7" t="str">
        <f>"龚依萍"</f>
        <v>龚依萍</v>
      </c>
      <c r="B501" s="7">
        <v>20191706</v>
      </c>
      <c r="C501" s="7" t="s">
        <v>13</v>
      </c>
      <c r="D501" s="7">
        <v>66.5</v>
      </c>
      <c r="E501" s="6">
        <v>66.5</v>
      </c>
      <c r="F501" s="5">
        <f t="shared" si="9"/>
        <v>176</v>
      </c>
      <c r="G501" s="7"/>
    </row>
    <row r="502" spans="1:7" ht="15" customHeight="1">
      <c r="A502" s="11" t="str">
        <f>"郑琳琳"</f>
        <v>郑琳琳</v>
      </c>
      <c r="B502" s="11">
        <v>20191809</v>
      </c>
      <c r="C502" s="11" t="s">
        <v>13</v>
      </c>
      <c r="D502" s="11">
        <v>66.5</v>
      </c>
      <c r="E502" s="10">
        <v>66.5</v>
      </c>
      <c r="F502" s="5">
        <f t="shared" si="9"/>
        <v>176</v>
      </c>
      <c r="G502" s="11"/>
    </row>
    <row r="503" spans="1:7" ht="15" customHeight="1">
      <c r="A503" s="7" t="str">
        <f>"杨娟"</f>
        <v>杨娟</v>
      </c>
      <c r="B503" s="7">
        <v>20191901</v>
      </c>
      <c r="C503" s="7" t="s">
        <v>13</v>
      </c>
      <c r="D503" s="7">
        <v>66.5</v>
      </c>
      <c r="E503" s="6">
        <v>66.5</v>
      </c>
      <c r="F503" s="5">
        <f t="shared" si="9"/>
        <v>176</v>
      </c>
      <c r="G503" s="7"/>
    </row>
    <row r="504" spans="1:7" ht="15" customHeight="1">
      <c r="A504" s="7" t="str">
        <f>"郑博耀"</f>
        <v>郑博耀</v>
      </c>
      <c r="B504" s="7">
        <v>20191324</v>
      </c>
      <c r="C504" s="7" t="s">
        <v>13</v>
      </c>
      <c r="D504" s="7">
        <v>66</v>
      </c>
      <c r="E504" s="6">
        <v>66</v>
      </c>
      <c r="F504" s="5">
        <f t="shared" si="9"/>
        <v>181</v>
      </c>
      <c r="G504" s="7"/>
    </row>
    <row r="505" spans="1:7" ht="15" customHeight="1">
      <c r="A505" s="7" t="str">
        <f>"马雅迪"</f>
        <v>马雅迪</v>
      </c>
      <c r="B505" s="7">
        <v>20191505</v>
      </c>
      <c r="C505" s="7" t="s">
        <v>13</v>
      </c>
      <c r="D505" s="7">
        <v>66</v>
      </c>
      <c r="E505" s="6">
        <v>66</v>
      </c>
      <c r="F505" s="5">
        <f t="shared" si="9"/>
        <v>181</v>
      </c>
      <c r="G505" s="7"/>
    </row>
    <row r="506" spans="1:7" ht="15" customHeight="1">
      <c r="A506" s="7" t="str">
        <f>"张壮"</f>
        <v>张壮</v>
      </c>
      <c r="B506" s="7">
        <v>20191510</v>
      </c>
      <c r="C506" s="7" t="s">
        <v>13</v>
      </c>
      <c r="D506" s="7">
        <v>65.5</v>
      </c>
      <c r="E506" s="6">
        <v>65.5</v>
      </c>
      <c r="F506" s="5">
        <f t="shared" si="9"/>
        <v>183</v>
      </c>
      <c r="G506" s="7"/>
    </row>
    <row r="507" spans="1:7" ht="15" customHeight="1">
      <c r="A507" s="7" t="str">
        <f>"李月扬"</f>
        <v>李月扬</v>
      </c>
      <c r="B507" s="7">
        <v>20191530</v>
      </c>
      <c r="C507" s="7" t="s">
        <v>13</v>
      </c>
      <c r="D507" s="7">
        <v>65.5</v>
      </c>
      <c r="E507" s="6">
        <v>65.5</v>
      </c>
      <c r="F507" s="5">
        <f t="shared" si="9"/>
        <v>183</v>
      </c>
      <c r="G507" s="7"/>
    </row>
    <row r="508" spans="1:7" ht="15" customHeight="1">
      <c r="A508" s="7" t="str">
        <f>"路峰"</f>
        <v>路峰</v>
      </c>
      <c r="B508" s="7">
        <v>20191707</v>
      </c>
      <c r="C508" s="7" t="s">
        <v>13</v>
      </c>
      <c r="D508" s="7">
        <v>65.5</v>
      </c>
      <c r="E508" s="6">
        <v>65.5</v>
      </c>
      <c r="F508" s="5">
        <f t="shared" si="9"/>
        <v>183</v>
      </c>
      <c r="G508" s="7"/>
    </row>
    <row r="509" spans="1:7" ht="15" customHeight="1">
      <c r="A509" s="7" t="str">
        <f>"乔莹"</f>
        <v>乔莹</v>
      </c>
      <c r="B509" s="7">
        <v>20191719</v>
      </c>
      <c r="C509" s="7" t="s">
        <v>13</v>
      </c>
      <c r="D509" s="7">
        <v>65.5</v>
      </c>
      <c r="E509" s="6">
        <v>65.5</v>
      </c>
      <c r="F509" s="5">
        <f t="shared" si="9"/>
        <v>183</v>
      </c>
      <c r="G509" s="7"/>
    </row>
    <row r="510" spans="1:7" ht="15" customHeight="1">
      <c r="A510" s="7" t="str">
        <f>"苗倩"</f>
        <v>苗倩</v>
      </c>
      <c r="B510" s="7">
        <v>20191209</v>
      </c>
      <c r="C510" s="7" t="s">
        <v>13</v>
      </c>
      <c r="D510" s="7">
        <v>65</v>
      </c>
      <c r="E510" s="6">
        <v>65</v>
      </c>
      <c r="F510" s="5">
        <f t="shared" si="9"/>
        <v>187</v>
      </c>
      <c r="G510" s="7"/>
    </row>
    <row r="511" spans="1:7" ht="15" customHeight="1">
      <c r="A511" s="7" t="str">
        <f>"韩素素"</f>
        <v>韩素素</v>
      </c>
      <c r="B511" s="7">
        <v>20191219</v>
      </c>
      <c r="C511" s="7" t="s">
        <v>13</v>
      </c>
      <c r="D511" s="7">
        <v>65</v>
      </c>
      <c r="E511" s="6">
        <v>65</v>
      </c>
      <c r="F511" s="5">
        <f t="shared" si="9"/>
        <v>187</v>
      </c>
      <c r="G511" s="7"/>
    </row>
    <row r="512" spans="1:7" ht="15" customHeight="1">
      <c r="A512" s="7" t="str">
        <f>"马晨"</f>
        <v>马晨</v>
      </c>
      <c r="B512" s="7">
        <v>20191824</v>
      </c>
      <c r="C512" s="7" t="s">
        <v>13</v>
      </c>
      <c r="D512" s="7">
        <v>65</v>
      </c>
      <c r="E512" s="6">
        <v>65</v>
      </c>
      <c r="F512" s="5">
        <f t="shared" si="9"/>
        <v>187</v>
      </c>
      <c r="G512" s="7"/>
    </row>
    <row r="513" spans="1:7" ht="15" customHeight="1">
      <c r="A513" s="7" t="str">
        <f>"罗钰"</f>
        <v>罗钰</v>
      </c>
      <c r="B513" s="7">
        <v>20192007</v>
      </c>
      <c r="C513" s="7" t="s">
        <v>13</v>
      </c>
      <c r="D513" s="7">
        <v>65</v>
      </c>
      <c r="E513" s="6">
        <v>65</v>
      </c>
      <c r="F513" s="5">
        <f t="shared" si="9"/>
        <v>187</v>
      </c>
      <c r="G513" s="7"/>
    </row>
    <row r="514" spans="1:7" ht="15" customHeight="1">
      <c r="A514" s="7" t="str">
        <f>"寇浩楠"</f>
        <v>寇浩楠</v>
      </c>
      <c r="B514" s="7">
        <v>20191518</v>
      </c>
      <c r="C514" s="7" t="s">
        <v>13</v>
      </c>
      <c r="D514" s="7">
        <v>64.5</v>
      </c>
      <c r="E514" s="6">
        <v>64.5</v>
      </c>
      <c r="F514" s="5">
        <f t="shared" si="9"/>
        <v>191</v>
      </c>
      <c r="G514" s="7"/>
    </row>
    <row r="515" spans="1:7" ht="15" customHeight="1">
      <c r="A515" s="7" t="str">
        <f>"柏桢"</f>
        <v>柏桢</v>
      </c>
      <c r="B515" s="7">
        <v>20191212</v>
      </c>
      <c r="C515" s="7" t="s">
        <v>13</v>
      </c>
      <c r="D515" s="7">
        <v>64</v>
      </c>
      <c r="E515" s="6">
        <v>64</v>
      </c>
      <c r="F515" s="5">
        <f t="shared" si="9"/>
        <v>192</v>
      </c>
      <c r="G515" s="7"/>
    </row>
    <row r="516" spans="1:7" ht="15" customHeight="1">
      <c r="A516" s="7" t="str">
        <f>"殷颂洒"</f>
        <v>殷颂洒</v>
      </c>
      <c r="B516" s="7">
        <v>20191501</v>
      </c>
      <c r="C516" s="7" t="s">
        <v>13</v>
      </c>
      <c r="D516" s="7">
        <v>64</v>
      </c>
      <c r="E516" s="6">
        <v>64</v>
      </c>
      <c r="F516" s="5">
        <f t="shared" ref="F516:F545" si="10">_xlfn.RANK.EQ(E516,$E$324:$E$545)</f>
        <v>192</v>
      </c>
      <c r="G516" s="7"/>
    </row>
    <row r="517" spans="1:7" ht="15" customHeight="1">
      <c r="A517" s="7" t="str">
        <f>"陈卓"</f>
        <v>陈卓</v>
      </c>
      <c r="B517" s="7">
        <v>20191629</v>
      </c>
      <c r="C517" s="7" t="s">
        <v>13</v>
      </c>
      <c r="D517" s="7">
        <v>64</v>
      </c>
      <c r="E517" s="6">
        <v>64</v>
      </c>
      <c r="F517" s="5">
        <f t="shared" si="10"/>
        <v>192</v>
      </c>
      <c r="G517" s="7"/>
    </row>
    <row r="518" spans="1:7" ht="15" customHeight="1">
      <c r="A518" s="7" t="str">
        <f>"李明星"</f>
        <v>李明星</v>
      </c>
      <c r="B518" s="7">
        <v>20191721</v>
      </c>
      <c r="C518" s="7" t="s">
        <v>13</v>
      </c>
      <c r="D518" s="7">
        <v>64</v>
      </c>
      <c r="E518" s="6">
        <v>64</v>
      </c>
      <c r="F518" s="5">
        <f t="shared" si="10"/>
        <v>192</v>
      </c>
      <c r="G518" s="7"/>
    </row>
    <row r="519" spans="1:7" ht="15" customHeight="1">
      <c r="A519" s="7" t="str">
        <f>"李祥"</f>
        <v>李祥</v>
      </c>
      <c r="B519" s="7">
        <v>20191725</v>
      </c>
      <c r="C519" s="7" t="s">
        <v>13</v>
      </c>
      <c r="D519" s="7">
        <v>64</v>
      </c>
      <c r="E519" s="6">
        <v>64</v>
      </c>
      <c r="F519" s="5">
        <f t="shared" si="10"/>
        <v>192</v>
      </c>
      <c r="G519" s="7"/>
    </row>
    <row r="520" spans="1:7" ht="15" customHeight="1">
      <c r="A520" s="7" t="str">
        <f>"杜珊"</f>
        <v>杜珊</v>
      </c>
      <c r="B520" s="7">
        <v>20191807</v>
      </c>
      <c r="C520" s="7" t="s">
        <v>13</v>
      </c>
      <c r="D520" s="7">
        <v>64</v>
      </c>
      <c r="E520" s="6">
        <v>64</v>
      </c>
      <c r="F520" s="5">
        <f t="shared" si="10"/>
        <v>192</v>
      </c>
      <c r="G520" s="7"/>
    </row>
    <row r="521" spans="1:7" ht="15" customHeight="1">
      <c r="A521" s="11" t="str">
        <f>"李恩会"</f>
        <v>李恩会</v>
      </c>
      <c r="B521" s="11">
        <v>20191903</v>
      </c>
      <c r="C521" s="11" t="s">
        <v>13</v>
      </c>
      <c r="D521" s="11">
        <v>64</v>
      </c>
      <c r="E521" s="10">
        <v>64</v>
      </c>
      <c r="F521" s="5">
        <f t="shared" si="10"/>
        <v>192</v>
      </c>
      <c r="G521" s="11"/>
    </row>
    <row r="522" spans="1:7" ht="15" customHeight="1">
      <c r="A522" s="7" t="str">
        <f>"肖梦珂"</f>
        <v>肖梦珂</v>
      </c>
      <c r="B522" s="7">
        <v>20191906</v>
      </c>
      <c r="C522" s="7" t="s">
        <v>13</v>
      </c>
      <c r="D522" s="7">
        <v>64</v>
      </c>
      <c r="E522" s="6">
        <v>64</v>
      </c>
      <c r="F522" s="5">
        <f t="shared" si="10"/>
        <v>192</v>
      </c>
      <c r="G522" s="7"/>
    </row>
    <row r="523" spans="1:7" ht="15" customHeight="1">
      <c r="A523" s="7" t="str">
        <f>"王晴"</f>
        <v>王晴</v>
      </c>
      <c r="B523" s="7">
        <v>20191703</v>
      </c>
      <c r="C523" s="7" t="s">
        <v>13</v>
      </c>
      <c r="D523" s="7">
        <v>63.5</v>
      </c>
      <c r="E523" s="6">
        <v>63.5</v>
      </c>
      <c r="F523" s="5">
        <f t="shared" si="10"/>
        <v>200</v>
      </c>
      <c r="G523" s="7"/>
    </row>
    <row r="524" spans="1:7" ht="15" customHeight="1">
      <c r="A524" s="7" t="str">
        <f>"曹红蕾"</f>
        <v>曹红蕾</v>
      </c>
      <c r="B524" s="7">
        <v>20191211</v>
      </c>
      <c r="C524" s="7" t="s">
        <v>13</v>
      </c>
      <c r="D524" s="7">
        <v>63</v>
      </c>
      <c r="E524" s="6">
        <v>63</v>
      </c>
      <c r="F524" s="5">
        <f t="shared" si="10"/>
        <v>201</v>
      </c>
      <c r="G524" s="7"/>
    </row>
    <row r="525" spans="1:7" ht="15" customHeight="1">
      <c r="A525" s="7" t="str">
        <f>"江鹤"</f>
        <v>江鹤</v>
      </c>
      <c r="B525" s="7">
        <v>20191213</v>
      </c>
      <c r="C525" s="7" t="s">
        <v>13</v>
      </c>
      <c r="D525" s="7">
        <v>63</v>
      </c>
      <c r="E525" s="6">
        <v>63</v>
      </c>
      <c r="F525" s="5">
        <f t="shared" si="10"/>
        <v>201</v>
      </c>
      <c r="G525" s="7"/>
    </row>
    <row r="526" spans="1:7" ht="15" customHeight="1">
      <c r="A526" s="7" t="str">
        <f>"余勺勺"</f>
        <v>余勺勺</v>
      </c>
      <c r="B526" s="7">
        <v>20191709</v>
      </c>
      <c r="C526" s="7" t="s">
        <v>13</v>
      </c>
      <c r="D526" s="7">
        <v>63</v>
      </c>
      <c r="E526" s="6">
        <v>63</v>
      </c>
      <c r="F526" s="5">
        <f t="shared" si="10"/>
        <v>201</v>
      </c>
      <c r="G526" s="7"/>
    </row>
    <row r="527" spans="1:7" ht="15" customHeight="1">
      <c r="A527" s="7" t="str">
        <f>"闫月异"</f>
        <v>闫月异</v>
      </c>
      <c r="B527" s="7">
        <v>20191206</v>
      </c>
      <c r="C527" s="7" t="s">
        <v>13</v>
      </c>
      <c r="D527" s="7">
        <v>62.5</v>
      </c>
      <c r="E527" s="6">
        <v>62.5</v>
      </c>
      <c r="F527" s="5">
        <f t="shared" si="10"/>
        <v>204</v>
      </c>
      <c r="G527" s="7"/>
    </row>
    <row r="528" spans="1:7" ht="15" customHeight="1">
      <c r="A528" s="11" t="str">
        <f>"方婧"</f>
        <v>方婧</v>
      </c>
      <c r="B528" s="11">
        <v>20191325</v>
      </c>
      <c r="C528" s="11" t="s">
        <v>13</v>
      </c>
      <c r="D528" s="11">
        <v>62.5</v>
      </c>
      <c r="E528" s="10">
        <v>62.5</v>
      </c>
      <c r="F528" s="5">
        <f t="shared" si="10"/>
        <v>204</v>
      </c>
      <c r="G528" s="11"/>
    </row>
    <row r="529" spans="1:7" ht="15" customHeight="1">
      <c r="A529" s="7" t="str">
        <f>"孙阳莹"</f>
        <v>孙阳莹</v>
      </c>
      <c r="B529" s="7">
        <v>20191425</v>
      </c>
      <c r="C529" s="7" t="s">
        <v>13</v>
      </c>
      <c r="D529" s="7">
        <v>62.5</v>
      </c>
      <c r="E529" s="6">
        <v>62.5</v>
      </c>
      <c r="F529" s="5">
        <f t="shared" si="10"/>
        <v>204</v>
      </c>
      <c r="G529" s="7"/>
    </row>
    <row r="530" spans="1:7" ht="15" customHeight="1">
      <c r="A530" s="7" t="str">
        <f>"王玲科"</f>
        <v>王玲科</v>
      </c>
      <c r="B530" s="7">
        <v>20191226</v>
      </c>
      <c r="C530" s="7" t="s">
        <v>13</v>
      </c>
      <c r="D530" s="7">
        <v>62</v>
      </c>
      <c r="E530" s="6">
        <v>62</v>
      </c>
      <c r="F530" s="5">
        <f t="shared" si="10"/>
        <v>207</v>
      </c>
      <c r="G530" s="7"/>
    </row>
    <row r="531" spans="1:7" ht="15" customHeight="1">
      <c r="A531" s="7" t="str">
        <f>"李俊"</f>
        <v>李俊</v>
      </c>
      <c r="B531" s="7">
        <v>20191515</v>
      </c>
      <c r="C531" s="7" t="s">
        <v>13</v>
      </c>
      <c r="D531" s="7">
        <v>62</v>
      </c>
      <c r="E531" s="6">
        <v>62</v>
      </c>
      <c r="F531" s="5">
        <f t="shared" si="10"/>
        <v>207</v>
      </c>
      <c r="G531" s="7"/>
    </row>
    <row r="532" spans="1:7" ht="15" customHeight="1">
      <c r="A532" s="7" t="str">
        <f>"尹宗娟"</f>
        <v>尹宗娟</v>
      </c>
      <c r="B532" s="7">
        <v>20191730</v>
      </c>
      <c r="C532" s="7" t="s">
        <v>13</v>
      </c>
      <c r="D532" s="7">
        <v>62</v>
      </c>
      <c r="E532" s="6">
        <v>62</v>
      </c>
      <c r="F532" s="5">
        <f t="shared" si="10"/>
        <v>207</v>
      </c>
      <c r="G532" s="7"/>
    </row>
    <row r="533" spans="1:7" ht="15" customHeight="1">
      <c r="A533" s="7" t="str">
        <f>"郑孟柯"</f>
        <v>郑孟柯</v>
      </c>
      <c r="B533" s="7">
        <v>20191214</v>
      </c>
      <c r="C533" s="7" t="s">
        <v>13</v>
      </c>
      <c r="D533" s="7">
        <v>61.5</v>
      </c>
      <c r="E533" s="6">
        <v>61.5</v>
      </c>
      <c r="F533" s="5">
        <f t="shared" si="10"/>
        <v>210</v>
      </c>
      <c r="G533" s="7"/>
    </row>
    <row r="534" spans="1:7" ht="15" customHeight="1">
      <c r="A534" s="7" t="str">
        <f>"赵朋"</f>
        <v>赵朋</v>
      </c>
      <c r="B534" s="7">
        <v>20191224</v>
      </c>
      <c r="C534" s="7" t="s">
        <v>13</v>
      </c>
      <c r="D534" s="7">
        <v>61.5</v>
      </c>
      <c r="E534" s="6">
        <v>61.5</v>
      </c>
      <c r="F534" s="5">
        <f t="shared" si="10"/>
        <v>210</v>
      </c>
      <c r="G534" s="7"/>
    </row>
    <row r="535" spans="1:7" ht="15" customHeight="1">
      <c r="A535" s="7" t="str">
        <f>"邹露"</f>
        <v>邹露</v>
      </c>
      <c r="B535" s="7">
        <v>20191714</v>
      </c>
      <c r="C535" s="7" t="s">
        <v>13</v>
      </c>
      <c r="D535" s="7">
        <v>61.5</v>
      </c>
      <c r="E535" s="6">
        <v>61.5</v>
      </c>
      <c r="F535" s="5">
        <f t="shared" si="10"/>
        <v>210</v>
      </c>
      <c r="G535" s="7"/>
    </row>
    <row r="536" spans="1:7" ht="15" customHeight="1">
      <c r="A536" s="11" t="str">
        <f>"付聪会"</f>
        <v>付聪会</v>
      </c>
      <c r="B536" s="11">
        <v>20191904</v>
      </c>
      <c r="C536" s="11" t="s">
        <v>13</v>
      </c>
      <c r="D536" s="11">
        <v>61.5</v>
      </c>
      <c r="E536" s="10">
        <v>61.5</v>
      </c>
      <c r="F536" s="5">
        <f t="shared" si="10"/>
        <v>210</v>
      </c>
      <c r="G536" s="11"/>
    </row>
    <row r="537" spans="1:7" ht="15" customHeight="1">
      <c r="A537" s="7" t="str">
        <f>"张玺"</f>
        <v>张玺</v>
      </c>
      <c r="B537" s="7">
        <v>20192003</v>
      </c>
      <c r="C537" s="7" t="s">
        <v>13</v>
      </c>
      <c r="D537" s="7">
        <v>61.5</v>
      </c>
      <c r="E537" s="6">
        <v>61.5</v>
      </c>
      <c r="F537" s="5">
        <f t="shared" si="10"/>
        <v>210</v>
      </c>
      <c r="G537" s="7"/>
    </row>
    <row r="538" spans="1:7" ht="15" customHeight="1">
      <c r="A538" s="7" t="str">
        <f>"黄琛"</f>
        <v>黄琛</v>
      </c>
      <c r="B538" s="7">
        <v>20191508</v>
      </c>
      <c r="C538" s="7" t="s">
        <v>13</v>
      </c>
      <c r="D538" s="7">
        <v>61</v>
      </c>
      <c r="E538" s="6">
        <v>61</v>
      </c>
      <c r="F538" s="5">
        <f t="shared" si="10"/>
        <v>215</v>
      </c>
      <c r="G538" s="7"/>
    </row>
    <row r="539" spans="1:7" ht="15" customHeight="1">
      <c r="A539" s="11" t="str">
        <f>"马璇"</f>
        <v>马璇</v>
      </c>
      <c r="B539" s="11">
        <v>20191830</v>
      </c>
      <c r="C539" s="11" t="s">
        <v>13</v>
      </c>
      <c r="D539" s="11">
        <v>61</v>
      </c>
      <c r="E539" s="10">
        <v>61</v>
      </c>
      <c r="F539" s="5">
        <f t="shared" si="10"/>
        <v>215</v>
      </c>
      <c r="G539" s="11"/>
    </row>
    <row r="540" spans="1:7" ht="15" customHeight="1">
      <c r="A540" s="7" t="str">
        <f>"王雪静"</f>
        <v>王雪静</v>
      </c>
      <c r="B540" s="7">
        <v>20191529</v>
      </c>
      <c r="C540" s="7" t="s">
        <v>13</v>
      </c>
      <c r="D540" s="7">
        <v>60.5</v>
      </c>
      <c r="E540" s="6">
        <v>60.5</v>
      </c>
      <c r="F540" s="5">
        <f t="shared" si="10"/>
        <v>217</v>
      </c>
      <c r="G540" s="7"/>
    </row>
    <row r="541" spans="1:7" ht="15" customHeight="1">
      <c r="A541" s="7" t="str">
        <f>"胡爱迪"</f>
        <v>胡爱迪</v>
      </c>
      <c r="B541" s="7">
        <v>20191326</v>
      </c>
      <c r="C541" s="7" t="s">
        <v>13</v>
      </c>
      <c r="D541" s="7">
        <v>60</v>
      </c>
      <c r="E541" s="6">
        <v>60</v>
      </c>
      <c r="F541" s="5">
        <f t="shared" si="10"/>
        <v>218</v>
      </c>
      <c r="G541" s="7"/>
    </row>
    <row r="542" spans="1:7" ht="15" customHeight="1">
      <c r="A542" s="11" t="str">
        <f>"徐建"</f>
        <v>徐建</v>
      </c>
      <c r="B542" s="11">
        <v>20191322</v>
      </c>
      <c r="C542" s="11" t="s">
        <v>13</v>
      </c>
      <c r="D542" s="11">
        <v>59</v>
      </c>
      <c r="E542" s="10">
        <v>59</v>
      </c>
      <c r="F542" s="5">
        <f t="shared" si="10"/>
        <v>219</v>
      </c>
      <c r="G542" s="11"/>
    </row>
    <row r="543" spans="1:7" ht="15" customHeight="1">
      <c r="A543" s="7" t="str">
        <f>"陈雪萍"</f>
        <v>陈雪萍</v>
      </c>
      <c r="B543" s="7">
        <v>20191821</v>
      </c>
      <c r="C543" s="7" t="s">
        <v>13</v>
      </c>
      <c r="D543" s="7">
        <v>58.5</v>
      </c>
      <c r="E543" s="6">
        <v>58.5</v>
      </c>
      <c r="F543" s="5">
        <f t="shared" si="10"/>
        <v>220</v>
      </c>
      <c r="G543" s="7"/>
    </row>
    <row r="544" spans="1:7" ht="15" customHeight="1">
      <c r="A544" s="11" t="str">
        <f>"葛红星"</f>
        <v>葛红星</v>
      </c>
      <c r="B544" s="11">
        <v>20191828</v>
      </c>
      <c r="C544" s="11" t="s">
        <v>13</v>
      </c>
      <c r="D544" s="11">
        <v>58</v>
      </c>
      <c r="E544" s="10">
        <v>58</v>
      </c>
      <c r="F544" s="5">
        <f t="shared" si="10"/>
        <v>221</v>
      </c>
      <c r="G544" s="11"/>
    </row>
    <row r="545" spans="1:7" ht="15" customHeight="1">
      <c r="A545" s="7" t="str">
        <f>"张鹏飞"</f>
        <v>张鹏飞</v>
      </c>
      <c r="B545" s="7">
        <v>20191507</v>
      </c>
      <c r="C545" s="7" t="s">
        <v>13</v>
      </c>
      <c r="D545" s="7">
        <v>54.5</v>
      </c>
      <c r="E545" s="6">
        <v>54.5</v>
      </c>
      <c r="F545" s="5">
        <f t="shared" si="10"/>
        <v>222</v>
      </c>
      <c r="G545" s="7"/>
    </row>
    <row r="546" spans="1:7" ht="15" customHeight="1">
      <c r="A546" s="7" t="str">
        <f>"钟璐璐"</f>
        <v>钟璐璐</v>
      </c>
      <c r="B546" s="7">
        <v>20191317</v>
      </c>
      <c r="C546" s="7" t="s">
        <v>13</v>
      </c>
      <c r="D546" s="7">
        <v>0</v>
      </c>
      <c r="E546" s="6">
        <v>0</v>
      </c>
      <c r="F546" s="5"/>
      <c r="G546" s="7" t="s">
        <v>0</v>
      </c>
    </row>
    <row r="547" spans="1:7" ht="15" customHeight="1">
      <c r="A547" s="7" t="str">
        <f>"孙新新"</f>
        <v>孙新新</v>
      </c>
      <c r="B547" s="7">
        <v>20191402</v>
      </c>
      <c r="C547" s="7" t="s">
        <v>13</v>
      </c>
      <c r="D547" s="7">
        <v>0</v>
      </c>
      <c r="E547" s="6">
        <v>0</v>
      </c>
      <c r="F547" s="5"/>
      <c r="G547" s="7" t="s">
        <v>0</v>
      </c>
    </row>
    <row r="548" spans="1:7" ht="15" customHeight="1">
      <c r="A548" s="7" t="str">
        <f>"刘闯"</f>
        <v>刘闯</v>
      </c>
      <c r="B548" s="7">
        <v>20191408</v>
      </c>
      <c r="C548" s="7" t="s">
        <v>13</v>
      </c>
      <c r="D548" s="7">
        <v>0</v>
      </c>
      <c r="E548" s="6">
        <v>0</v>
      </c>
      <c r="F548" s="5"/>
      <c r="G548" s="7" t="s">
        <v>0</v>
      </c>
    </row>
    <row r="549" spans="1:7" ht="15" customHeight="1">
      <c r="A549" s="7" t="str">
        <f>"马豆"</f>
        <v>马豆</v>
      </c>
      <c r="B549" s="7">
        <v>20191409</v>
      </c>
      <c r="C549" s="7" t="s">
        <v>13</v>
      </c>
      <c r="D549" s="7">
        <v>0</v>
      </c>
      <c r="E549" s="6">
        <v>0</v>
      </c>
      <c r="F549" s="5"/>
      <c r="G549" s="7" t="s">
        <v>0</v>
      </c>
    </row>
    <row r="550" spans="1:7" ht="15" customHeight="1">
      <c r="A550" s="7" t="str">
        <f>"徐进"</f>
        <v>徐进</v>
      </c>
      <c r="B550" s="7">
        <v>20191502</v>
      </c>
      <c r="C550" s="7" t="s">
        <v>13</v>
      </c>
      <c r="D550" s="7">
        <v>0</v>
      </c>
      <c r="E550" s="6">
        <v>0</v>
      </c>
      <c r="F550" s="5"/>
      <c r="G550" s="7" t="s">
        <v>0</v>
      </c>
    </row>
    <row r="551" spans="1:7" ht="15" customHeight="1">
      <c r="A551" s="7" t="str">
        <f>"袁晨"</f>
        <v>袁晨</v>
      </c>
      <c r="B551" s="7">
        <v>20191610</v>
      </c>
      <c r="C551" s="7" t="s">
        <v>13</v>
      </c>
      <c r="D551" s="7">
        <v>0</v>
      </c>
      <c r="E551" s="6">
        <v>0</v>
      </c>
      <c r="F551" s="5"/>
      <c r="G551" s="7" t="s">
        <v>0</v>
      </c>
    </row>
    <row r="552" spans="1:7" ht="15" customHeight="1">
      <c r="A552" s="7" t="str">
        <f>"邹欣欣"</f>
        <v>邹欣欣</v>
      </c>
      <c r="B552" s="7">
        <v>20191620</v>
      </c>
      <c r="C552" s="7" t="s">
        <v>13</v>
      </c>
      <c r="D552" s="7">
        <v>0</v>
      </c>
      <c r="E552" s="6">
        <v>0</v>
      </c>
      <c r="F552" s="5"/>
      <c r="G552" s="7" t="s">
        <v>0</v>
      </c>
    </row>
    <row r="553" spans="1:7" ht="15" customHeight="1">
      <c r="A553" s="7" t="str">
        <f>"李营营"</f>
        <v>李营营</v>
      </c>
      <c r="B553" s="7">
        <v>20191622</v>
      </c>
      <c r="C553" s="7" t="s">
        <v>13</v>
      </c>
      <c r="D553" s="7">
        <v>0</v>
      </c>
      <c r="E553" s="6">
        <v>0</v>
      </c>
      <c r="F553" s="5"/>
      <c r="G553" s="7" t="s">
        <v>0</v>
      </c>
    </row>
    <row r="554" spans="1:7" ht="15" customHeight="1">
      <c r="A554" s="7" t="str">
        <f>"赵丽"</f>
        <v>赵丽</v>
      </c>
      <c r="B554" s="7">
        <v>20191630</v>
      </c>
      <c r="C554" s="7" t="s">
        <v>13</v>
      </c>
      <c r="D554" s="7">
        <v>0</v>
      </c>
      <c r="E554" s="6">
        <v>0</v>
      </c>
      <c r="F554" s="5"/>
      <c r="G554" s="7" t="s">
        <v>0</v>
      </c>
    </row>
    <row r="555" spans="1:7" ht="15" customHeight="1">
      <c r="A555" s="7" t="str">
        <f>"王慧"</f>
        <v>王慧</v>
      </c>
      <c r="B555" s="7">
        <v>20191803</v>
      </c>
      <c r="C555" s="7" t="s">
        <v>13</v>
      </c>
      <c r="D555" s="7">
        <v>0</v>
      </c>
      <c r="E555" s="6">
        <v>0</v>
      </c>
      <c r="F555" s="5"/>
      <c r="G555" s="7" t="s">
        <v>0</v>
      </c>
    </row>
    <row r="556" spans="1:7" ht="15" customHeight="1">
      <c r="A556" s="7" t="str">
        <f>"李艺芑"</f>
        <v>李艺芑</v>
      </c>
      <c r="B556" s="7">
        <v>20191822</v>
      </c>
      <c r="C556" s="7" t="s">
        <v>13</v>
      </c>
      <c r="D556" s="7">
        <v>0</v>
      </c>
      <c r="E556" s="6">
        <v>0</v>
      </c>
      <c r="F556" s="5"/>
      <c r="G556" s="7" t="s">
        <v>0</v>
      </c>
    </row>
    <row r="557" spans="1:7" ht="15" customHeight="1">
      <c r="A557" s="11" t="str">
        <f>"姚风婷"</f>
        <v>姚风婷</v>
      </c>
      <c r="B557" s="11">
        <v>20191829</v>
      </c>
      <c r="C557" s="11" t="s">
        <v>13</v>
      </c>
      <c r="D557" s="11">
        <v>0</v>
      </c>
      <c r="E557" s="10">
        <v>0</v>
      </c>
      <c r="F557" s="9"/>
      <c r="G557" s="11" t="s">
        <v>0</v>
      </c>
    </row>
    <row r="558" spans="1:7" ht="15" customHeight="1">
      <c r="A558" s="7" t="str">
        <f>"张膑丹"</f>
        <v>张膑丹</v>
      </c>
      <c r="B558" s="7">
        <v>20191907</v>
      </c>
      <c r="C558" s="7" t="s">
        <v>13</v>
      </c>
      <c r="D558" s="7">
        <v>0</v>
      </c>
      <c r="E558" s="6">
        <v>0</v>
      </c>
      <c r="F558" s="5"/>
      <c r="G558" s="7" t="s">
        <v>0</v>
      </c>
    </row>
    <row r="559" spans="1:7" ht="15" customHeight="1">
      <c r="A559" s="11" t="str">
        <f>"贾伟"</f>
        <v>贾伟</v>
      </c>
      <c r="B559" s="11">
        <v>20191910</v>
      </c>
      <c r="C559" s="11" t="s">
        <v>13</v>
      </c>
      <c r="D559" s="11">
        <v>0</v>
      </c>
      <c r="E559" s="10">
        <v>0</v>
      </c>
      <c r="F559" s="9"/>
      <c r="G559" s="11" t="s">
        <v>0</v>
      </c>
    </row>
    <row r="560" spans="1:7" ht="15" customHeight="1">
      <c r="A560" s="7" t="str">
        <f>"王征宇"</f>
        <v>王征宇</v>
      </c>
      <c r="B560" s="7">
        <v>20191912</v>
      </c>
      <c r="C560" s="7" t="s">
        <v>13</v>
      </c>
      <c r="D560" s="7">
        <v>0</v>
      </c>
      <c r="E560" s="6">
        <v>0</v>
      </c>
      <c r="F560" s="5"/>
      <c r="G560" s="7" t="s">
        <v>0</v>
      </c>
    </row>
    <row r="561" spans="1:7" ht="15" customHeight="1">
      <c r="A561" s="11" t="str">
        <f>"丁彤彤"</f>
        <v>丁彤彤</v>
      </c>
      <c r="B561" s="11">
        <v>20191913</v>
      </c>
      <c r="C561" s="11" t="s">
        <v>13</v>
      </c>
      <c r="D561" s="11">
        <v>0</v>
      </c>
      <c r="E561" s="10">
        <v>0</v>
      </c>
      <c r="F561" s="9"/>
      <c r="G561" s="11" t="s">
        <v>0</v>
      </c>
    </row>
    <row r="562" spans="1:7" ht="15" customHeight="1">
      <c r="A562" s="7" t="str">
        <f>"马凤燕"</f>
        <v>马凤燕</v>
      </c>
      <c r="B562" s="7">
        <v>20191915</v>
      </c>
      <c r="C562" s="7" t="s">
        <v>13</v>
      </c>
      <c r="D562" s="7">
        <v>0</v>
      </c>
      <c r="E562" s="6">
        <v>0</v>
      </c>
      <c r="F562" s="5"/>
      <c r="G562" s="7" t="s">
        <v>0</v>
      </c>
    </row>
    <row r="563" spans="1:7" ht="15" customHeight="1">
      <c r="A563" s="7" t="str">
        <f>"尹硕"</f>
        <v>尹硕</v>
      </c>
      <c r="B563" s="7">
        <v>20191928</v>
      </c>
      <c r="C563" s="7" t="s">
        <v>13</v>
      </c>
      <c r="D563" s="7">
        <v>0</v>
      </c>
      <c r="E563" s="6">
        <v>0</v>
      </c>
      <c r="F563" s="5"/>
      <c r="G563" s="7" t="s">
        <v>0</v>
      </c>
    </row>
    <row r="564" spans="1:7" ht="15" customHeight="1">
      <c r="A564" s="7" t="str">
        <f>"解新燕"</f>
        <v>解新燕</v>
      </c>
      <c r="B564" s="7">
        <v>20191930</v>
      </c>
      <c r="C564" s="7" t="s">
        <v>13</v>
      </c>
      <c r="D564" s="7">
        <v>0</v>
      </c>
      <c r="E564" s="6">
        <v>0</v>
      </c>
      <c r="F564" s="5"/>
      <c r="G564" s="7" t="s">
        <v>0</v>
      </c>
    </row>
    <row r="565" spans="1:7" ht="15" customHeight="1">
      <c r="A565" s="7" t="str">
        <f>"白森"</f>
        <v>白森</v>
      </c>
      <c r="B565" s="7">
        <v>20192002</v>
      </c>
      <c r="C565" s="7" t="s">
        <v>13</v>
      </c>
      <c r="D565" s="7">
        <v>0</v>
      </c>
      <c r="E565" s="6">
        <v>0</v>
      </c>
      <c r="F565" s="5"/>
      <c r="G565" s="7" t="s">
        <v>0</v>
      </c>
    </row>
    <row r="566" spans="1:7" ht="15" customHeight="1">
      <c r="A566" s="7" t="str">
        <f>"韩晶晶"</f>
        <v>韩晶晶</v>
      </c>
      <c r="B566" s="7">
        <v>20192008</v>
      </c>
      <c r="C566" s="7" t="s">
        <v>13</v>
      </c>
      <c r="D566" s="7">
        <v>0</v>
      </c>
      <c r="E566" s="6">
        <v>0</v>
      </c>
      <c r="F566" s="5"/>
      <c r="G566" s="7" t="s">
        <v>0</v>
      </c>
    </row>
    <row r="567" spans="1:7" ht="15" customHeight="1">
      <c r="A567" s="7" t="str">
        <f>"杨柳"</f>
        <v>杨柳</v>
      </c>
      <c r="B567" s="7">
        <v>20192009</v>
      </c>
      <c r="C567" s="7" t="s">
        <v>13</v>
      </c>
      <c r="D567" s="7">
        <v>0</v>
      </c>
      <c r="E567" s="6">
        <v>0</v>
      </c>
      <c r="F567" s="5"/>
      <c r="G567" s="7" t="s">
        <v>0</v>
      </c>
    </row>
    <row r="568" spans="1:7" ht="15" customHeight="1">
      <c r="A568" s="7" t="str">
        <f>"陈露"</f>
        <v>陈露</v>
      </c>
      <c r="B568" s="7">
        <v>20192010</v>
      </c>
      <c r="C568" s="7" t="s">
        <v>13</v>
      </c>
      <c r="D568" s="7">
        <v>0</v>
      </c>
      <c r="E568" s="6">
        <v>0</v>
      </c>
      <c r="F568" s="5"/>
      <c r="G568" s="7" t="s">
        <v>0</v>
      </c>
    </row>
    <row r="569" spans="1:7" ht="15" customHeight="1">
      <c r="A569" s="7" t="str">
        <f>"黄冬双"</f>
        <v>黄冬双</v>
      </c>
      <c r="B569" s="7">
        <v>20192011</v>
      </c>
      <c r="C569" s="7" t="s">
        <v>13</v>
      </c>
      <c r="D569" s="7">
        <v>0</v>
      </c>
      <c r="E569" s="6">
        <v>0</v>
      </c>
      <c r="F569" s="5"/>
      <c r="G569" s="7" t="s">
        <v>0</v>
      </c>
    </row>
    <row r="570" spans="1:7" ht="15" customHeight="1">
      <c r="A570" s="11" t="str">
        <f>"王松瑶"</f>
        <v>王松瑶</v>
      </c>
      <c r="B570" s="11">
        <v>20192018</v>
      </c>
      <c r="C570" s="11" t="s">
        <v>12</v>
      </c>
      <c r="D570" s="11">
        <v>84.5</v>
      </c>
      <c r="E570" s="10">
        <v>84.5</v>
      </c>
      <c r="F570" s="9">
        <f t="shared" ref="F570:F616" si="11">_xlfn.RANK.EQ(E570,$E$570:$E$616)</f>
        <v>1</v>
      </c>
      <c r="G570" s="11"/>
    </row>
    <row r="571" spans="1:7" ht="15" customHeight="1">
      <c r="A571" s="7" t="str">
        <f>"李丹"</f>
        <v>李丹</v>
      </c>
      <c r="B571" s="7">
        <v>20192022</v>
      </c>
      <c r="C571" s="7" t="s">
        <v>12</v>
      </c>
      <c r="D571" s="7">
        <v>82.5</v>
      </c>
      <c r="E571" s="6">
        <v>82.5</v>
      </c>
      <c r="F571" s="9">
        <f t="shared" si="11"/>
        <v>2</v>
      </c>
      <c r="G571" s="7"/>
    </row>
    <row r="572" spans="1:7" ht="15" customHeight="1">
      <c r="A572" s="7" t="str">
        <f>"王天娇"</f>
        <v>王天娇</v>
      </c>
      <c r="B572" s="7">
        <v>20192110</v>
      </c>
      <c r="C572" s="7" t="s">
        <v>12</v>
      </c>
      <c r="D572" s="7">
        <v>82.5</v>
      </c>
      <c r="E572" s="6">
        <v>82.5</v>
      </c>
      <c r="F572" s="9">
        <f t="shared" si="11"/>
        <v>2</v>
      </c>
      <c r="G572" s="7"/>
    </row>
    <row r="573" spans="1:7" ht="15" customHeight="1">
      <c r="A573" s="7" t="str">
        <f>"黄亚丽"</f>
        <v>黄亚丽</v>
      </c>
      <c r="B573" s="7">
        <v>20192029</v>
      </c>
      <c r="C573" s="7" t="s">
        <v>12</v>
      </c>
      <c r="D573" s="7">
        <v>81.5</v>
      </c>
      <c r="E573" s="6">
        <v>81.5</v>
      </c>
      <c r="F573" s="9">
        <f t="shared" si="11"/>
        <v>4</v>
      </c>
      <c r="G573" s="7"/>
    </row>
    <row r="574" spans="1:7" ht="15" customHeight="1">
      <c r="A574" s="7" t="str">
        <f>"郭昂"</f>
        <v>郭昂</v>
      </c>
      <c r="B574" s="7">
        <v>20192102</v>
      </c>
      <c r="C574" s="7" t="s">
        <v>12</v>
      </c>
      <c r="D574" s="7">
        <v>81.5</v>
      </c>
      <c r="E574" s="6">
        <v>81.5</v>
      </c>
      <c r="F574" s="9">
        <f t="shared" si="11"/>
        <v>4</v>
      </c>
      <c r="G574" s="7"/>
    </row>
    <row r="575" spans="1:7" ht="15" customHeight="1">
      <c r="A575" s="7" t="str">
        <f>"左司晨"</f>
        <v>左司晨</v>
      </c>
      <c r="B575" s="7">
        <v>20192129</v>
      </c>
      <c r="C575" s="7" t="s">
        <v>12</v>
      </c>
      <c r="D575" s="7">
        <v>81</v>
      </c>
      <c r="E575" s="6">
        <v>81</v>
      </c>
      <c r="F575" s="9">
        <f t="shared" si="11"/>
        <v>6</v>
      </c>
      <c r="G575" s="7"/>
    </row>
    <row r="576" spans="1:7" ht="15" customHeight="1">
      <c r="A576" s="7" t="str">
        <f>"刘洋"</f>
        <v>刘洋</v>
      </c>
      <c r="B576" s="7">
        <v>20192027</v>
      </c>
      <c r="C576" s="7" t="s">
        <v>12</v>
      </c>
      <c r="D576" s="7">
        <v>80</v>
      </c>
      <c r="E576" s="6">
        <v>80</v>
      </c>
      <c r="F576" s="9">
        <f t="shared" si="11"/>
        <v>7</v>
      </c>
      <c r="G576" s="7"/>
    </row>
    <row r="577" spans="1:7" ht="15" customHeight="1">
      <c r="A577" s="7" t="str">
        <f>"刘聪玲"</f>
        <v>刘聪玲</v>
      </c>
      <c r="B577" s="7">
        <v>20192122</v>
      </c>
      <c r="C577" s="7" t="s">
        <v>12</v>
      </c>
      <c r="D577" s="7">
        <v>80</v>
      </c>
      <c r="E577" s="6">
        <v>80</v>
      </c>
      <c r="F577" s="9">
        <f t="shared" si="11"/>
        <v>7</v>
      </c>
      <c r="G577" s="7"/>
    </row>
    <row r="578" spans="1:7" ht="15" customHeight="1">
      <c r="A578" s="7" t="str">
        <f>"杨一凡"</f>
        <v>杨一凡</v>
      </c>
      <c r="B578" s="7">
        <v>20192017</v>
      </c>
      <c r="C578" s="7" t="s">
        <v>12</v>
      </c>
      <c r="D578" s="7">
        <v>79.5</v>
      </c>
      <c r="E578" s="6">
        <v>79.5</v>
      </c>
      <c r="F578" s="9">
        <f t="shared" si="11"/>
        <v>9</v>
      </c>
      <c r="G578" s="7"/>
    </row>
    <row r="579" spans="1:7" ht="15" customHeight="1">
      <c r="A579" s="7" t="str">
        <f>"梁烨珍"</f>
        <v>梁烨珍</v>
      </c>
      <c r="B579" s="7">
        <v>20192201</v>
      </c>
      <c r="C579" s="7" t="s">
        <v>12</v>
      </c>
      <c r="D579" s="7">
        <v>79.5</v>
      </c>
      <c r="E579" s="6">
        <v>79.5</v>
      </c>
      <c r="F579" s="9">
        <f t="shared" si="11"/>
        <v>9</v>
      </c>
      <c r="G579" s="7"/>
    </row>
    <row r="580" spans="1:7" ht="15" customHeight="1">
      <c r="A580" s="7" t="str">
        <f>"骆京"</f>
        <v>骆京</v>
      </c>
      <c r="B580" s="7">
        <v>20192025</v>
      </c>
      <c r="C580" s="7" t="s">
        <v>12</v>
      </c>
      <c r="D580" s="7">
        <v>79</v>
      </c>
      <c r="E580" s="6">
        <v>79</v>
      </c>
      <c r="F580" s="9">
        <f t="shared" si="11"/>
        <v>11</v>
      </c>
      <c r="G580" s="7"/>
    </row>
    <row r="581" spans="1:7" ht="15" customHeight="1">
      <c r="A581" s="7" t="str">
        <f>"陶满珠"</f>
        <v>陶满珠</v>
      </c>
      <c r="B581" s="7">
        <v>20192016</v>
      </c>
      <c r="C581" s="7" t="s">
        <v>12</v>
      </c>
      <c r="D581" s="7">
        <v>78.5</v>
      </c>
      <c r="E581" s="6">
        <v>78.5</v>
      </c>
      <c r="F581" s="9">
        <f t="shared" si="11"/>
        <v>12</v>
      </c>
      <c r="G581" s="7"/>
    </row>
    <row r="582" spans="1:7" ht="15" customHeight="1">
      <c r="A582" s="7" t="str">
        <f>"赵东亚"</f>
        <v>赵东亚</v>
      </c>
      <c r="B582" s="7">
        <v>20192020</v>
      </c>
      <c r="C582" s="7" t="s">
        <v>12</v>
      </c>
      <c r="D582" s="7">
        <v>78</v>
      </c>
      <c r="E582" s="6">
        <v>78</v>
      </c>
      <c r="F582" s="9">
        <f t="shared" si="11"/>
        <v>13</v>
      </c>
      <c r="G582" s="7"/>
    </row>
    <row r="583" spans="1:7" ht="15" customHeight="1">
      <c r="A583" s="7" t="str">
        <f>"张静敏"</f>
        <v>张静敏</v>
      </c>
      <c r="B583" s="7">
        <v>20192024</v>
      </c>
      <c r="C583" s="7" t="s">
        <v>12</v>
      </c>
      <c r="D583" s="7">
        <v>78</v>
      </c>
      <c r="E583" s="6">
        <v>78</v>
      </c>
      <c r="F583" s="9">
        <f t="shared" si="11"/>
        <v>13</v>
      </c>
      <c r="G583" s="7"/>
    </row>
    <row r="584" spans="1:7" ht="15" customHeight="1">
      <c r="A584" s="7" t="str">
        <f>"文靖"</f>
        <v>文靖</v>
      </c>
      <c r="B584" s="7">
        <v>20192126</v>
      </c>
      <c r="C584" s="7" t="s">
        <v>12</v>
      </c>
      <c r="D584" s="7">
        <v>77</v>
      </c>
      <c r="E584" s="6">
        <v>77</v>
      </c>
      <c r="F584" s="9">
        <f t="shared" si="11"/>
        <v>15</v>
      </c>
      <c r="G584" s="7"/>
    </row>
    <row r="585" spans="1:7" ht="15" customHeight="1">
      <c r="A585" s="7" t="str">
        <f>"王露"</f>
        <v>王露</v>
      </c>
      <c r="B585" s="7">
        <v>20192118</v>
      </c>
      <c r="C585" s="7" t="s">
        <v>12</v>
      </c>
      <c r="D585" s="7">
        <v>76</v>
      </c>
      <c r="E585" s="6">
        <v>76</v>
      </c>
      <c r="F585" s="9">
        <f t="shared" si="11"/>
        <v>16</v>
      </c>
      <c r="G585" s="7"/>
    </row>
    <row r="586" spans="1:7" ht="15" customHeight="1">
      <c r="A586" s="7" t="str">
        <f>"蒋亚亚"</f>
        <v>蒋亚亚</v>
      </c>
      <c r="B586" s="7">
        <v>20192019</v>
      </c>
      <c r="C586" s="7" t="s">
        <v>12</v>
      </c>
      <c r="D586" s="7">
        <v>75.5</v>
      </c>
      <c r="E586" s="6">
        <v>75.5</v>
      </c>
      <c r="F586" s="9">
        <f t="shared" si="11"/>
        <v>17</v>
      </c>
      <c r="G586" s="7"/>
    </row>
    <row r="587" spans="1:7" ht="15" customHeight="1">
      <c r="A587" s="11" t="str">
        <f>"李智倩"</f>
        <v>李智倩</v>
      </c>
      <c r="B587" s="11">
        <v>20192021</v>
      </c>
      <c r="C587" s="11" t="s">
        <v>12</v>
      </c>
      <c r="D587" s="11">
        <v>75</v>
      </c>
      <c r="E587" s="10">
        <v>75</v>
      </c>
      <c r="F587" s="9">
        <f t="shared" si="11"/>
        <v>18</v>
      </c>
      <c r="G587" s="11"/>
    </row>
    <row r="588" spans="1:7" s="12" customFormat="1" ht="15" customHeight="1">
      <c r="A588" s="7" t="str">
        <f>"廖雪帆"</f>
        <v>廖雪帆</v>
      </c>
      <c r="B588" s="7">
        <v>20192202</v>
      </c>
      <c r="C588" s="7" t="s">
        <v>12</v>
      </c>
      <c r="D588" s="7">
        <v>75</v>
      </c>
      <c r="E588" s="6">
        <v>75</v>
      </c>
      <c r="F588" s="9">
        <f t="shared" si="11"/>
        <v>18</v>
      </c>
      <c r="G588" s="7"/>
    </row>
    <row r="589" spans="1:7" ht="15" customHeight="1">
      <c r="A589" s="11" t="str">
        <f>"刘怡"</f>
        <v>刘怡</v>
      </c>
      <c r="B589" s="11">
        <v>20192101</v>
      </c>
      <c r="C589" s="11" t="s">
        <v>12</v>
      </c>
      <c r="D589" s="11">
        <v>74.5</v>
      </c>
      <c r="E589" s="10">
        <v>74.5</v>
      </c>
      <c r="F589" s="9">
        <f t="shared" si="11"/>
        <v>20</v>
      </c>
      <c r="G589" s="11"/>
    </row>
    <row r="590" spans="1:7" ht="15" customHeight="1">
      <c r="A590" s="7" t="str">
        <f>"崔尧斌"</f>
        <v>崔尧斌</v>
      </c>
      <c r="B590" s="7">
        <v>20192105</v>
      </c>
      <c r="C590" s="7" t="s">
        <v>12</v>
      </c>
      <c r="D590" s="7">
        <v>74.5</v>
      </c>
      <c r="E590" s="6">
        <v>74.5</v>
      </c>
      <c r="F590" s="9">
        <f t="shared" si="11"/>
        <v>20</v>
      </c>
      <c r="G590" s="7"/>
    </row>
    <row r="591" spans="1:7" ht="15" customHeight="1">
      <c r="A591" s="7" t="str">
        <f>"王丹"</f>
        <v>王丹</v>
      </c>
      <c r="B591" s="7">
        <v>20192014</v>
      </c>
      <c r="C591" s="7" t="s">
        <v>12</v>
      </c>
      <c r="D591" s="7">
        <v>74</v>
      </c>
      <c r="E591" s="6">
        <v>74</v>
      </c>
      <c r="F591" s="9">
        <f t="shared" si="11"/>
        <v>22</v>
      </c>
      <c r="G591" s="7"/>
    </row>
    <row r="592" spans="1:7" ht="15" customHeight="1">
      <c r="A592" s="7" t="str">
        <f>"韩璐"</f>
        <v>韩璐</v>
      </c>
      <c r="B592" s="7">
        <v>20192109</v>
      </c>
      <c r="C592" s="7" t="s">
        <v>12</v>
      </c>
      <c r="D592" s="7">
        <v>74</v>
      </c>
      <c r="E592" s="6">
        <v>74</v>
      </c>
      <c r="F592" s="9">
        <f t="shared" si="11"/>
        <v>22</v>
      </c>
      <c r="G592" s="7"/>
    </row>
    <row r="593" spans="1:7" ht="15" customHeight="1">
      <c r="A593" s="7" t="str">
        <f>"黄梦帆"</f>
        <v>黄梦帆</v>
      </c>
      <c r="B593" s="7">
        <v>20192115</v>
      </c>
      <c r="C593" s="7" t="s">
        <v>12</v>
      </c>
      <c r="D593" s="7">
        <v>74</v>
      </c>
      <c r="E593" s="6">
        <v>74</v>
      </c>
      <c r="F593" s="9">
        <f t="shared" si="11"/>
        <v>22</v>
      </c>
      <c r="G593" s="7"/>
    </row>
    <row r="594" spans="1:7" ht="15" customHeight="1">
      <c r="A594" s="7" t="str">
        <f>"申丽君"</f>
        <v>申丽君</v>
      </c>
      <c r="B594" s="7">
        <v>20192121</v>
      </c>
      <c r="C594" s="7" t="s">
        <v>12</v>
      </c>
      <c r="D594" s="7">
        <v>74</v>
      </c>
      <c r="E594" s="6">
        <v>74</v>
      </c>
      <c r="F594" s="9">
        <f t="shared" si="11"/>
        <v>22</v>
      </c>
      <c r="G594" s="7"/>
    </row>
    <row r="595" spans="1:7" ht="15" customHeight="1">
      <c r="A595" s="7" t="str">
        <f>"王蓓蓓"</f>
        <v>王蓓蓓</v>
      </c>
      <c r="B595" s="7">
        <v>20192130</v>
      </c>
      <c r="C595" s="7" t="s">
        <v>12</v>
      </c>
      <c r="D595" s="7">
        <v>74</v>
      </c>
      <c r="E595" s="6">
        <v>74</v>
      </c>
      <c r="F595" s="9">
        <f t="shared" si="11"/>
        <v>22</v>
      </c>
      <c r="G595" s="7"/>
    </row>
    <row r="596" spans="1:7" ht="15" customHeight="1">
      <c r="A596" s="7" t="str">
        <f>"翟惠娴"</f>
        <v>翟惠娴</v>
      </c>
      <c r="B596" s="7">
        <v>20192012</v>
      </c>
      <c r="C596" s="7" t="s">
        <v>12</v>
      </c>
      <c r="D596" s="7">
        <v>73.5</v>
      </c>
      <c r="E596" s="6">
        <v>73.5</v>
      </c>
      <c r="F596" s="9">
        <f t="shared" si="11"/>
        <v>27</v>
      </c>
      <c r="G596" s="7"/>
    </row>
    <row r="597" spans="1:7" ht="15" customHeight="1">
      <c r="A597" s="7" t="str">
        <f>"高娜"</f>
        <v>高娜</v>
      </c>
      <c r="B597" s="7">
        <v>20192120</v>
      </c>
      <c r="C597" s="7" t="s">
        <v>12</v>
      </c>
      <c r="D597" s="7">
        <v>73.5</v>
      </c>
      <c r="E597" s="6">
        <v>73.5</v>
      </c>
      <c r="F597" s="9">
        <f t="shared" si="11"/>
        <v>27</v>
      </c>
      <c r="G597" s="7"/>
    </row>
    <row r="598" spans="1:7" ht="15" customHeight="1">
      <c r="A598" s="7" t="str">
        <f>"杨纹"</f>
        <v>杨纹</v>
      </c>
      <c r="B598" s="7">
        <v>20192013</v>
      </c>
      <c r="C598" s="7" t="s">
        <v>12</v>
      </c>
      <c r="D598" s="7">
        <v>71.5</v>
      </c>
      <c r="E598" s="6">
        <v>71.5</v>
      </c>
      <c r="F598" s="9">
        <f t="shared" si="11"/>
        <v>29</v>
      </c>
      <c r="G598" s="7"/>
    </row>
    <row r="599" spans="1:7" ht="15" customHeight="1">
      <c r="A599" s="7" t="str">
        <f>"彭静"</f>
        <v>彭静</v>
      </c>
      <c r="B599" s="7">
        <v>20192117</v>
      </c>
      <c r="C599" s="7" t="s">
        <v>12</v>
      </c>
      <c r="D599" s="7">
        <v>71</v>
      </c>
      <c r="E599" s="6">
        <v>71</v>
      </c>
      <c r="F599" s="9">
        <f t="shared" si="11"/>
        <v>30</v>
      </c>
      <c r="G599" s="7"/>
    </row>
    <row r="600" spans="1:7" ht="15" customHeight="1">
      <c r="A600" s="7" t="str">
        <f>"杨梦晨"</f>
        <v>杨梦晨</v>
      </c>
      <c r="B600" s="7">
        <v>20192125</v>
      </c>
      <c r="C600" s="7" t="s">
        <v>12</v>
      </c>
      <c r="D600" s="7">
        <v>71</v>
      </c>
      <c r="E600" s="6">
        <v>71</v>
      </c>
      <c r="F600" s="9">
        <f t="shared" si="11"/>
        <v>30</v>
      </c>
      <c r="G600" s="7"/>
    </row>
    <row r="601" spans="1:7" ht="15" customHeight="1">
      <c r="A601" s="7" t="str">
        <f>"李璐"</f>
        <v>李璐</v>
      </c>
      <c r="B601" s="7">
        <v>20192111</v>
      </c>
      <c r="C601" s="7" t="s">
        <v>12</v>
      </c>
      <c r="D601" s="7">
        <v>70</v>
      </c>
      <c r="E601" s="6">
        <v>70</v>
      </c>
      <c r="F601" s="9">
        <f t="shared" si="11"/>
        <v>32</v>
      </c>
      <c r="G601" s="7"/>
    </row>
    <row r="602" spans="1:7" ht="15" customHeight="1">
      <c r="A602" s="7" t="str">
        <f>"周亚倩"</f>
        <v>周亚倩</v>
      </c>
      <c r="B602" s="7">
        <v>20192104</v>
      </c>
      <c r="C602" s="7" t="s">
        <v>12</v>
      </c>
      <c r="D602" s="7">
        <v>69.5</v>
      </c>
      <c r="E602" s="6">
        <v>69.5</v>
      </c>
      <c r="F602" s="9">
        <f t="shared" si="11"/>
        <v>33</v>
      </c>
      <c r="G602" s="7"/>
    </row>
    <row r="603" spans="1:7" ht="15" customHeight="1">
      <c r="A603" s="7" t="str">
        <f>"王晓征"</f>
        <v>王晓征</v>
      </c>
      <c r="B603" s="7">
        <v>20192113</v>
      </c>
      <c r="C603" s="7" t="s">
        <v>12</v>
      </c>
      <c r="D603" s="7">
        <v>69.5</v>
      </c>
      <c r="E603" s="6">
        <v>69.5</v>
      </c>
      <c r="F603" s="9">
        <f t="shared" si="11"/>
        <v>33</v>
      </c>
      <c r="G603" s="7"/>
    </row>
    <row r="604" spans="1:7" ht="15" customHeight="1">
      <c r="A604" s="7" t="str">
        <f>"齐歌童"</f>
        <v>齐歌童</v>
      </c>
      <c r="B604" s="7">
        <v>20192106</v>
      </c>
      <c r="C604" s="7" t="s">
        <v>12</v>
      </c>
      <c r="D604" s="7">
        <v>69</v>
      </c>
      <c r="E604" s="6">
        <v>69</v>
      </c>
      <c r="F604" s="9">
        <f t="shared" si="11"/>
        <v>35</v>
      </c>
      <c r="G604" s="7"/>
    </row>
    <row r="605" spans="1:7" ht="15" customHeight="1">
      <c r="A605" s="7" t="str">
        <f>"张兆霞"</f>
        <v>张兆霞</v>
      </c>
      <c r="B605" s="7">
        <v>20192108</v>
      </c>
      <c r="C605" s="7" t="s">
        <v>12</v>
      </c>
      <c r="D605" s="7">
        <v>68.5</v>
      </c>
      <c r="E605" s="6">
        <v>68.5</v>
      </c>
      <c r="F605" s="9">
        <f t="shared" si="11"/>
        <v>36</v>
      </c>
      <c r="G605" s="7"/>
    </row>
    <row r="606" spans="1:7" ht="15" customHeight="1">
      <c r="A606" s="7" t="str">
        <f>"何柳"</f>
        <v>何柳</v>
      </c>
      <c r="B606" s="7">
        <v>20192103</v>
      </c>
      <c r="C606" s="7" t="s">
        <v>12</v>
      </c>
      <c r="D606" s="7">
        <v>68</v>
      </c>
      <c r="E606" s="6">
        <v>68</v>
      </c>
      <c r="F606" s="9">
        <f t="shared" si="11"/>
        <v>37</v>
      </c>
      <c r="G606" s="7"/>
    </row>
    <row r="607" spans="1:7" ht="15" customHeight="1">
      <c r="A607" s="7" t="str">
        <f>"蒋一帆"</f>
        <v>蒋一帆</v>
      </c>
      <c r="B607" s="7">
        <v>20192015</v>
      </c>
      <c r="C607" s="7" t="s">
        <v>12</v>
      </c>
      <c r="D607" s="7">
        <v>67.5</v>
      </c>
      <c r="E607" s="6">
        <v>67.5</v>
      </c>
      <c r="F607" s="9">
        <f t="shared" si="11"/>
        <v>38</v>
      </c>
      <c r="G607" s="7"/>
    </row>
    <row r="608" spans="1:7" ht="15" customHeight="1">
      <c r="A608" s="11" t="str">
        <f>"乔欣"</f>
        <v>乔欣</v>
      </c>
      <c r="B608" s="11">
        <v>20192114</v>
      </c>
      <c r="C608" s="11" t="s">
        <v>12</v>
      </c>
      <c r="D608" s="11">
        <v>67</v>
      </c>
      <c r="E608" s="10">
        <v>67</v>
      </c>
      <c r="F608" s="9">
        <f t="shared" si="11"/>
        <v>39</v>
      </c>
      <c r="G608" s="11"/>
    </row>
    <row r="609" spans="1:7" ht="15" customHeight="1">
      <c r="A609" s="7" t="str">
        <f>"喻静"</f>
        <v>喻静</v>
      </c>
      <c r="B609" s="7">
        <v>20192026</v>
      </c>
      <c r="C609" s="7" t="s">
        <v>12</v>
      </c>
      <c r="D609" s="7">
        <v>66</v>
      </c>
      <c r="E609" s="6">
        <v>66</v>
      </c>
      <c r="F609" s="9">
        <f t="shared" si="11"/>
        <v>40</v>
      </c>
      <c r="G609" s="7"/>
    </row>
    <row r="610" spans="1:7" ht="15" customHeight="1">
      <c r="A610" s="7" t="str">
        <f>"曹俊亚"</f>
        <v>曹俊亚</v>
      </c>
      <c r="B610" s="7">
        <v>20192127</v>
      </c>
      <c r="C610" s="7" t="s">
        <v>12</v>
      </c>
      <c r="D610" s="7">
        <v>65.5</v>
      </c>
      <c r="E610" s="6">
        <v>65.5</v>
      </c>
      <c r="F610" s="9">
        <f t="shared" si="11"/>
        <v>41</v>
      </c>
      <c r="G610" s="7"/>
    </row>
    <row r="611" spans="1:7" ht="15" customHeight="1">
      <c r="A611" s="7" t="str">
        <f>"李明霞"</f>
        <v>李明霞</v>
      </c>
      <c r="B611" s="7">
        <v>20192023</v>
      </c>
      <c r="C611" s="7" t="s">
        <v>12</v>
      </c>
      <c r="D611" s="7">
        <v>65</v>
      </c>
      <c r="E611" s="6">
        <v>65</v>
      </c>
      <c r="F611" s="9">
        <f t="shared" si="11"/>
        <v>42</v>
      </c>
      <c r="G611" s="7"/>
    </row>
    <row r="612" spans="1:7" ht="15" customHeight="1">
      <c r="A612" s="7" t="str">
        <f>"张静"</f>
        <v>张静</v>
      </c>
      <c r="B612" s="7">
        <v>20192116</v>
      </c>
      <c r="C612" s="7" t="s">
        <v>12</v>
      </c>
      <c r="D612" s="7">
        <v>64.5</v>
      </c>
      <c r="E612" s="6">
        <v>64.5</v>
      </c>
      <c r="F612" s="9">
        <f t="shared" si="11"/>
        <v>43</v>
      </c>
      <c r="G612" s="7"/>
    </row>
    <row r="613" spans="1:7" ht="15" customHeight="1">
      <c r="A613" s="7" t="str">
        <f>"秦晴"</f>
        <v>秦晴</v>
      </c>
      <c r="B613" s="7">
        <v>20192107</v>
      </c>
      <c r="C613" s="7" t="s">
        <v>12</v>
      </c>
      <c r="D613" s="7">
        <v>64</v>
      </c>
      <c r="E613" s="6">
        <v>64</v>
      </c>
      <c r="F613" s="9">
        <f t="shared" si="11"/>
        <v>44</v>
      </c>
      <c r="G613" s="7"/>
    </row>
    <row r="614" spans="1:7" ht="15" customHeight="1">
      <c r="A614" s="7" t="str">
        <f>"张小玲"</f>
        <v>张小玲</v>
      </c>
      <c r="B614" s="7">
        <v>20192123</v>
      </c>
      <c r="C614" s="7" t="s">
        <v>12</v>
      </c>
      <c r="D614" s="7">
        <v>64</v>
      </c>
      <c r="E614" s="6">
        <v>64</v>
      </c>
      <c r="F614" s="9">
        <f t="shared" si="11"/>
        <v>44</v>
      </c>
      <c r="G614" s="7"/>
    </row>
    <row r="615" spans="1:7" ht="15" customHeight="1">
      <c r="A615" s="7" t="str">
        <f>"李营运"</f>
        <v>李营运</v>
      </c>
      <c r="B615" s="7">
        <v>20192124</v>
      </c>
      <c r="C615" s="7" t="s">
        <v>12</v>
      </c>
      <c r="D615" s="7">
        <v>61</v>
      </c>
      <c r="E615" s="6">
        <v>61</v>
      </c>
      <c r="F615" s="9">
        <f t="shared" si="11"/>
        <v>46</v>
      </c>
      <c r="G615" s="7"/>
    </row>
    <row r="616" spans="1:7" ht="15" customHeight="1">
      <c r="A616" s="7" t="str">
        <f>"朱丽"</f>
        <v>朱丽</v>
      </c>
      <c r="B616" s="7">
        <v>20192112</v>
      </c>
      <c r="C616" s="7" t="s">
        <v>12</v>
      </c>
      <c r="D616" s="7">
        <v>54.5</v>
      </c>
      <c r="E616" s="6">
        <v>54.5</v>
      </c>
      <c r="F616" s="9">
        <f t="shared" si="11"/>
        <v>47</v>
      </c>
      <c r="G616" s="7"/>
    </row>
    <row r="617" spans="1:7" ht="15" customHeight="1">
      <c r="A617" s="11" t="str">
        <f>"李泽林"</f>
        <v>李泽林</v>
      </c>
      <c r="B617" s="11">
        <v>20192028</v>
      </c>
      <c r="C617" s="11" t="s">
        <v>12</v>
      </c>
      <c r="D617" s="11">
        <v>0</v>
      </c>
      <c r="E617" s="10">
        <v>0</v>
      </c>
      <c r="F617" s="9"/>
      <c r="G617" s="11" t="s">
        <v>0</v>
      </c>
    </row>
    <row r="618" spans="1:7" ht="15" customHeight="1">
      <c r="A618" s="4" t="str">
        <f>"马蓓"</f>
        <v>马蓓</v>
      </c>
      <c r="B618" s="4">
        <v>20192030</v>
      </c>
      <c r="C618" s="4" t="s">
        <v>12</v>
      </c>
      <c r="D618" s="4">
        <v>0</v>
      </c>
      <c r="E618" s="14">
        <v>0</v>
      </c>
      <c r="F618" s="13"/>
      <c r="G618" s="7" t="s">
        <v>0</v>
      </c>
    </row>
    <row r="619" spans="1:7" ht="15" customHeight="1">
      <c r="A619" s="7" t="str">
        <f>"张鑫"</f>
        <v>张鑫</v>
      </c>
      <c r="B619" s="7">
        <v>20192119</v>
      </c>
      <c r="C619" s="7" t="s">
        <v>12</v>
      </c>
      <c r="D619" s="7">
        <v>0</v>
      </c>
      <c r="E619" s="6">
        <v>0</v>
      </c>
      <c r="F619" s="5"/>
      <c r="G619" s="7" t="s">
        <v>0</v>
      </c>
    </row>
    <row r="620" spans="1:7" ht="15" customHeight="1">
      <c r="A620" s="7" t="str">
        <f>"何清丽"</f>
        <v>何清丽</v>
      </c>
      <c r="B620" s="7">
        <v>20192128</v>
      </c>
      <c r="C620" s="7" t="s">
        <v>12</v>
      </c>
      <c r="D620" s="7">
        <v>0</v>
      </c>
      <c r="E620" s="6">
        <v>0</v>
      </c>
      <c r="F620" s="5"/>
      <c r="G620" s="7" t="s">
        <v>0</v>
      </c>
    </row>
    <row r="621" spans="1:7" ht="15" customHeight="1">
      <c r="A621" s="7" t="str">
        <f>"杜雅倩"</f>
        <v>杜雅倩</v>
      </c>
      <c r="B621" s="7">
        <v>20192205</v>
      </c>
      <c r="C621" s="7" t="s">
        <v>11</v>
      </c>
      <c r="D621" s="7">
        <v>80</v>
      </c>
      <c r="E621" s="6">
        <v>80</v>
      </c>
      <c r="F621" s="5">
        <v>1</v>
      </c>
      <c r="G621" s="7"/>
    </row>
    <row r="622" spans="1:7" ht="15" customHeight="1">
      <c r="A622" s="7" t="str">
        <f>"全江孔"</f>
        <v>全江孔</v>
      </c>
      <c r="B622" s="7">
        <v>20192204</v>
      </c>
      <c r="C622" s="7" t="s">
        <v>11</v>
      </c>
      <c r="D622" s="7">
        <v>79.5</v>
      </c>
      <c r="E622" s="6">
        <v>79.5</v>
      </c>
      <c r="F622" s="5">
        <v>2</v>
      </c>
      <c r="G622" s="7"/>
    </row>
    <row r="623" spans="1:7" ht="15" customHeight="1">
      <c r="A623" s="7" t="str">
        <f>"赵俊杰"</f>
        <v>赵俊杰</v>
      </c>
      <c r="B623" s="7">
        <v>20192206</v>
      </c>
      <c r="C623" s="7" t="s">
        <v>11</v>
      </c>
      <c r="D623" s="7">
        <v>79</v>
      </c>
      <c r="E623" s="6">
        <v>79</v>
      </c>
      <c r="F623" s="5">
        <v>3</v>
      </c>
      <c r="G623" s="7"/>
    </row>
    <row r="624" spans="1:7" ht="15" customHeight="1">
      <c r="A624" s="7" t="str">
        <f>"樊婷"</f>
        <v>樊婷</v>
      </c>
      <c r="B624" s="7">
        <v>20192211</v>
      </c>
      <c r="C624" s="7" t="s">
        <v>11</v>
      </c>
      <c r="D624" s="7">
        <v>78.5</v>
      </c>
      <c r="E624" s="6">
        <v>78.5</v>
      </c>
      <c r="F624" s="5">
        <v>4</v>
      </c>
      <c r="G624" s="7"/>
    </row>
    <row r="625" spans="1:7" ht="15" customHeight="1">
      <c r="A625" s="7" t="str">
        <f>"熊曼丽"</f>
        <v>熊曼丽</v>
      </c>
      <c r="B625" s="7">
        <v>20192207</v>
      </c>
      <c r="C625" s="7" t="s">
        <v>11</v>
      </c>
      <c r="D625" s="7">
        <v>71.5</v>
      </c>
      <c r="E625" s="6">
        <v>71.5</v>
      </c>
      <c r="F625" s="5">
        <v>5</v>
      </c>
      <c r="G625" s="7"/>
    </row>
    <row r="626" spans="1:7" ht="15" customHeight="1">
      <c r="A626" s="7" t="str">
        <f>"王珍"</f>
        <v>王珍</v>
      </c>
      <c r="B626" s="7">
        <v>20192203</v>
      </c>
      <c r="C626" s="7" t="s">
        <v>11</v>
      </c>
      <c r="D626" s="7">
        <v>71</v>
      </c>
      <c r="E626" s="6">
        <v>71</v>
      </c>
      <c r="F626" s="5">
        <v>6</v>
      </c>
      <c r="G626" s="7"/>
    </row>
    <row r="627" spans="1:7" ht="15" customHeight="1">
      <c r="A627" s="7" t="str">
        <f>"薛婉"</f>
        <v>薛婉</v>
      </c>
      <c r="B627" s="7">
        <v>20192210</v>
      </c>
      <c r="C627" s="7" t="s">
        <v>11</v>
      </c>
      <c r="D627" s="7">
        <v>61</v>
      </c>
      <c r="E627" s="6">
        <v>61</v>
      </c>
      <c r="F627" s="5">
        <v>7</v>
      </c>
      <c r="G627" s="7"/>
    </row>
    <row r="628" spans="1:7" ht="15" customHeight="1">
      <c r="A628" s="11" t="str">
        <f>"刘慧珠"</f>
        <v>刘慧珠</v>
      </c>
      <c r="B628" s="11">
        <v>20192208</v>
      </c>
      <c r="C628" s="11" t="s">
        <v>11</v>
      </c>
      <c r="D628" s="11">
        <v>58</v>
      </c>
      <c r="E628" s="10">
        <v>58</v>
      </c>
      <c r="F628" s="5">
        <v>8</v>
      </c>
      <c r="G628" s="11"/>
    </row>
    <row r="629" spans="1:7" ht="15" customHeight="1">
      <c r="A629" s="7" t="str">
        <f>"施彦茹"</f>
        <v>施彦茹</v>
      </c>
      <c r="B629" s="7">
        <v>20192209</v>
      </c>
      <c r="C629" s="7" t="s">
        <v>11</v>
      </c>
      <c r="D629" s="7">
        <v>0</v>
      </c>
      <c r="E629" s="6">
        <v>0</v>
      </c>
      <c r="F629" s="5"/>
      <c r="G629" s="7" t="s">
        <v>0</v>
      </c>
    </row>
    <row r="630" spans="1:7" ht="15" customHeight="1">
      <c r="A630" s="7" t="str">
        <f>"刘冰冰"</f>
        <v>刘冰冰</v>
      </c>
      <c r="B630" s="7">
        <v>20192218</v>
      </c>
      <c r="C630" s="7" t="s">
        <v>10</v>
      </c>
      <c r="D630" s="7">
        <v>79.5</v>
      </c>
      <c r="E630" s="6">
        <v>79.5</v>
      </c>
      <c r="F630" s="5">
        <f t="shared" ref="F630:F654" si="12">_xlfn.RANK.EQ(E630,$E$630:$E$654)</f>
        <v>1</v>
      </c>
      <c r="G630" s="7"/>
    </row>
    <row r="631" spans="1:7" ht="15" customHeight="1">
      <c r="A631" s="7" t="str">
        <f>"芦良雨"</f>
        <v>芦良雨</v>
      </c>
      <c r="B631" s="7">
        <v>20192220</v>
      </c>
      <c r="C631" s="7" t="s">
        <v>10</v>
      </c>
      <c r="D631" s="7">
        <v>77.5</v>
      </c>
      <c r="E631" s="6">
        <v>77.5</v>
      </c>
      <c r="F631" s="5">
        <f t="shared" si="12"/>
        <v>2</v>
      </c>
      <c r="G631" s="7"/>
    </row>
    <row r="632" spans="1:7" ht="15" customHeight="1">
      <c r="A632" s="7" t="str">
        <f>"刘平"</f>
        <v>刘平</v>
      </c>
      <c r="B632" s="7">
        <v>20192307</v>
      </c>
      <c r="C632" s="7" t="s">
        <v>10</v>
      </c>
      <c r="D632" s="7">
        <v>77.5</v>
      </c>
      <c r="E632" s="6">
        <v>77.5</v>
      </c>
      <c r="F632" s="5">
        <f t="shared" si="12"/>
        <v>2</v>
      </c>
      <c r="G632" s="7"/>
    </row>
    <row r="633" spans="1:7" ht="15" customHeight="1">
      <c r="A633" s="7" t="str">
        <f>"齐少康"</f>
        <v>齐少康</v>
      </c>
      <c r="B633" s="7">
        <v>20192309</v>
      </c>
      <c r="C633" s="7" t="s">
        <v>10</v>
      </c>
      <c r="D633" s="7">
        <v>77.5</v>
      </c>
      <c r="E633" s="6">
        <v>77.5</v>
      </c>
      <c r="F633" s="5">
        <f t="shared" si="12"/>
        <v>2</v>
      </c>
      <c r="G633" s="7"/>
    </row>
    <row r="634" spans="1:7" ht="15" customHeight="1">
      <c r="A634" s="7" t="str">
        <f>"赵恒"</f>
        <v>赵恒</v>
      </c>
      <c r="B634" s="7">
        <v>20192217</v>
      </c>
      <c r="C634" s="7" t="s">
        <v>10</v>
      </c>
      <c r="D634" s="7">
        <v>75</v>
      </c>
      <c r="E634" s="6">
        <v>75</v>
      </c>
      <c r="F634" s="5">
        <f t="shared" si="12"/>
        <v>5</v>
      </c>
      <c r="G634" s="7"/>
    </row>
    <row r="635" spans="1:7" ht="15" customHeight="1">
      <c r="A635" s="7" t="str">
        <f>"李璇"</f>
        <v>李璇</v>
      </c>
      <c r="B635" s="7">
        <v>20192226</v>
      </c>
      <c r="C635" s="7" t="s">
        <v>10</v>
      </c>
      <c r="D635" s="7">
        <v>75</v>
      </c>
      <c r="E635" s="6">
        <v>75</v>
      </c>
      <c r="F635" s="5">
        <f t="shared" si="12"/>
        <v>5</v>
      </c>
      <c r="G635" s="7"/>
    </row>
    <row r="636" spans="1:7" ht="15" customHeight="1">
      <c r="A636" s="7" t="str">
        <f>"王雪红"</f>
        <v>王雪红</v>
      </c>
      <c r="B636" s="7">
        <v>20192222</v>
      </c>
      <c r="C636" s="7" t="s">
        <v>10</v>
      </c>
      <c r="D636" s="7">
        <v>74.5</v>
      </c>
      <c r="E636" s="6">
        <v>74.5</v>
      </c>
      <c r="F636" s="5">
        <f t="shared" si="12"/>
        <v>7</v>
      </c>
      <c r="G636" s="7"/>
    </row>
    <row r="637" spans="1:7" ht="15" customHeight="1">
      <c r="A637" s="7" t="str">
        <f>"张瑛琳"</f>
        <v>张瑛琳</v>
      </c>
      <c r="B637" s="7">
        <v>20192303</v>
      </c>
      <c r="C637" s="7" t="s">
        <v>10</v>
      </c>
      <c r="D637" s="7">
        <v>74.5</v>
      </c>
      <c r="E637" s="6">
        <v>74.5</v>
      </c>
      <c r="F637" s="5">
        <f t="shared" si="12"/>
        <v>7</v>
      </c>
      <c r="G637" s="7"/>
    </row>
    <row r="638" spans="1:7" ht="15" customHeight="1">
      <c r="A638" s="7" t="str">
        <f>"时鹏飞"</f>
        <v>时鹏飞</v>
      </c>
      <c r="B638" s="7">
        <v>20192304</v>
      </c>
      <c r="C638" s="7" t="s">
        <v>10</v>
      </c>
      <c r="D638" s="7">
        <v>74.5</v>
      </c>
      <c r="E638" s="6">
        <v>74.5</v>
      </c>
      <c r="F638" s="5">
        <f t="shared" si="12"/>
        <v>7</v>
      </c>
      <c r="G638" s="7"/>
    </row>
    <row r="639" spans="1:7" ht="15" customHeight="1">
      <c r="A639" s="7" t="str">
        <f>"齐爽"</f>
        <v>齐爽</v>
      </c>
      <c r="B639" s="7">
        <v>20192305</v>
      </c>
      <c r="C639" s="7" t="s">
        <v>10</v>
      </c>
      <c r="D639" s="7">
        <v>71</v>
      </c>
      <c r="E639" s="6">
        <v>71</v>
      </c>
      <c r="F639" s="5">
        <f t="shared" si="12"/>
        <v>10</v>
      </c>
      <c r="G639" s="7"/>
    </row>
    <row r="640" spans="1:7" ht="15" customHeight="1">
      <c r="A640" s="7" t="str">
        <f>"何华雪"</f>
        <v>何华雪</v>
      </c>
      <c r="B640" s="7">
        <v>20192301</v>
      </c>
      <c r="C640" s="7" t="s">
        <v>10</v>
      </c>
      <c r="D640" s="7">
        <v>70.5</v>
      </c>
      <c r="E640" s="6">
        <v>70.5</v>
      </c>
      <c r="F640" s="5">
        <f t="shared" si="12"/>
        <v>11</v>
      </c>
      <c r="G640" s="7"/>
    </row>
    <row r="641" spans="1:7" ht="15" customHeight="1">
      <c r="A641" s="7" t="str">
        <f>"万欣"</f>
        <v>万欣</v>
      </c>
      <c r="B641" s="7">
        <v>20192306</v>
      </c>
      <c r="C641" s="7" t="s">
        <v>10</v>
      </c>
      <c r="D641" s="7">
        <v>70.5</v>
      </c>
      <c r="E641" s="6">
        <v>70.5</v>
      </c>
      <c r="F641" s="5">
        <f t="shared" si="12"/>
        <v>11</v>
      </c>
      <c r="G641" s="7"/>
    </row>
    <row r="642" spans="1:7" ht="15" customHeight="1">
      <c r="A642" s="7" t="str">
        <f>"冯聪"</f>
        <v>冯聪</v>
      </c>
      <c r="B642" s="7">
        <v>20192219</v>
      </c>
      <c r="C642" s="7" t="s">
        <v>10</v>
      </c>
      <c r="D642" s="7">
        <v>68.5</v>
      </c>
      <c r="E642" s="6">
        <v>68.5</v>
      </c>
      <c r="F642" s="5">
        <f t="shared" si="12"/>
        <v>13</v>
      </c>
      <c r="G642" s="7"/>
    </row>
    <row r="643" spans="1:7" ht="15" customHeight="1">
      <c r="A643" s="7" t="str">
        <f>"刘宁"</f>
        <v>刘宁</v>
      </c>
      <c r="B643" s="7">
        <v>20192223</v>
      </c>
      <c r="C643" s="7" t="s">
        <v>10</v>
      </c>
      <c r="D643" s="7">
        <v>67</v>
      </c>
      <c r="E643" s="6">
        <v>67</v>
      </c>
      <c r="F643" s="5">
        <f t="shared" si="12"/>
        <v>14</v>
      </c>
      <c r="G643" s="7"/>
    </row>
    <row r="644" spans="1:7" ht="15" customHeight="1">
      <c r="A644" s="7" t="str">
        <f>"张寒"</f>
        <v>张寒</v>
      </c>
      <c r="B644" s="7">
        <v>20192216</v>
      </c>
      <c r="C644" s="7" t="s">
        <v>10</v>
      </c>
      <c r="D644" s="7">
        <v>66</v>
      </c>
      <c r="E644" s="6">
        <v>66</v>
      </c>
      <c r="F644" s="5">
        <f t="shared" si="12"/>
        <v>15</v>
      </c>
      <c r="G644" s="7"/>
    </row>
    <row r="645" spans="1:7" ht="15" customHeight="1">
      <c r="A645" s="7" t="str">
        <f>"张曼"</f>
        <v>张曼</v>
      </c>
      <c r="B645" s="7">
        <v>20192230</v>
      </c>
      <c r="C645" s="7" t="s">
        <v>10</v>
      </c>
      <c r="D645" s="7">
        <v>66</v>
      </c>
      <c r="E645" s="6">
        <v>66</v>
      </c>
      <c r="F645" s="5">
        <f t="shared" si="12"/>
        <v>15</v>
      </c>
      <c r="G645" s="7"/>
    </row>
    <row r="646" spans="1:7" ht="15" customHeight="1">
      <c r="A646" s="7" t="str">
        <f>"白卓"</f>
        <v>白卓</v>
      </c>
      <c r="B646" s="7">
        <v>20192221</v>
      </c>
      <c r="C646" s="7" t="s">
        <v>10</v>
      </c>
      <c r="D646" s="7">
        <v>65</v>
      </c>
      <c r="E646" s="6">
        <v>65</v>
      </c>
      <c r="F646" s="5">
        <f t="shared" si="12"/>
        <v>17</v>
      </c>
      <c r="G646" s="7"/>
    </row>
    <row r="647" spans="1:7" ht="15" customHeight="1">
      <c r="A647" s="7" t="str">
        <f>"彭奥茹"</f>
        <v>彭奥茹</v>
      </c>
      <c r="B647" s="7">
        <v>20192212</v>
      </c>
      <c r="C647" s="7" t="s">
        <v>10</v>
      </c>
      <c r="D647" s="7">
        <v>64.5</v>
      </c>
      <c r="E647" s="6">
        <v>64.5</v>
      </c>
      <c r="F647" s="5">
        <f t="shared" si="12"/>
        <v>18</v>
      </c>
      <c r="G647" s="7"/>
    </row>
    <row r="648" spans="1:7" ht="15" customHeight="1">
      <c r="A648" s="11" t="str">
        <f>"张锦孟"</f>
        <v>张锦孟</v>
      </c>
      <c r="B648" s="11">
        <v>20192213</v>
      </c>
      <c r="C648" s="11" t="s">
        <v>10</v>
      </c>
      <c r="D648" s="11">
        <v>63.5</v>
      </c>
      <c r="E648" s="10">
        <v>63.5</v>
      </c>
      <c r="F648" s="5">
        <f t="shared" si="12"/>
        <v>19</v>
      </c>
      <c r="G648" s="11"/>
    </row>
    <row r="649" spans="1:7" ht="15" customHeight="1">
      <c r="A649" s="7" t="str">
        <f>"武启梦"</f>
        <v>武启梦</v>
      </c>
      <c r="B649" s="7">
        <v>20192225</v>
      </c>
      <c r="C649" s="7" t="s">
        <v>10</v>
      </c>
      <c r="D649" s="7">
        <v>62</v>
      </c>
      <c r="E649" s="6">
        <v>62</v>
      </c>
      <c r="F649" s="5">
        <f t="shared" si="12"/>
        <v>20</v>
      </c>
      <c r="G649" s="7"/>
    </row>
    <row r="650" spans="1:7" ht="15" customHeight="1">
      <c r="A650" s="7" t="str">
        <f>"冯阳"</f>
        <v>冯阳</v>
      </c>
      <c r="B650" s="7">
        <v>20192302</v>
      </c>
      <c r="C650" s="7" t="s">
        <v>10</v>
      </c>
      <c r="D650" s="7">
        <v>61</v>
      </c>
      <c r="E650" s="6">
        <v>61</v>
      </c>
      <c r="F650" s="5">
        <f t="shared" si="12"/>
        <v>21</v>
      </c>
      <c r="G650" s="7"/>
    </row>
    <row r="651" spans="1:7" ht="15" customHeight="1">
      <c r="A651" s="7" t="str">
        <f>"马征"</f>
        <v>马征</v>
      </c>
      <c r="B651" s="7">
        <v>20192224</v>
      </c>
      <c r="C651" s="7" t="s">
        <v>10</v>
      </c>
      <c r="D651" s="7">
        <v>60.5</v>
      </c>
      <c r="E651" s="6">
        <v>60.5</v>
      </c>
      <c r="F651" s="5">
        <f t="shared" si="12"/>
        <v>22</v>
      </c>
      <c r="G651" s="7"/>
    </row>
    <row r="652" spans="1:7" ht="15" customHeight="1">
      <c r="A652" s="7" t="str">
        <f>"米雪"</f>
        <v>米雪</v>
      </c>
      <c r="B652" s="7">
        <v>20192214</v>
      </c>
      <c r="C652" s="7" t="s">
        <v>10</v>
      </c>
      <c r="D652" s="7">
        <v>60</v>
      </c>
      <c r="E652" s="6">
        <v>60</v>
      </c>
      <c r="F652" s="5">
        <f t="shared" si="12"/>
        <v>23</v>
      </c>
      <c r="G652" s="7"/>
    </row>
    <row r="653" spans="1:7" ht="15" customHeight="1">
      <c r="A653" s="7" t="str">
        <f>"时莹"</f>
        <v>时莹</v>
      </c>
      <c r="B653" s="7">
        <v>20192215</v>
      </c>
      <c r="C653" s="7" t="s">
        <v>10</v>
      </c>
      <c r="D653" s="7">
        <v>56</v>
      </c>
      <c r="E653" s="6">
        <v>56</v>
      </c>
      <c r="F653" s="5">
        <f t="shared" si="12"/>
        <v>24</v>
      </c>
      <c r="G653" s="7"/>
    </row>
    <row r="654" spans="1:7" ht="15" customHeight="1">
      <c r="A654" s="7" t="str">
        <f>"路苗"</f>
        <v>路苗</v>
      </c>
      <c r="B654" s="7">
        <v>20192227</v>
      </c>
      <c r="C654" s="7" t="s">
        <v>10</v>
      </c>
      <c r="D654" s="7">
        <v>52.5</v>
      </c>
      <c r="E654" s="6">
        <v>52.5</v>
      </c>
      <c r="F654" s="5">
        <f t="shared" si="12"/>
        <v>25</v>
      </c>
      <c r="G654" s="7"/>
    </row>
    <row r="655" spans="1:7" ht="15" customHeight="1">
      <c r="A655" s="7" t="str">
        <f>"翟心怡"</f>
        <v>翟心怡</v>
      </c>
      <c r="B655" s="7">
        <v>20192228</v>
      </c>
      <c r="C655" s="7" t="s">
        <v>10</v>
      </c>
      <c r="D655" s="7">
        <v>0</v>
      </c>
      <c r="E655" s="6">
        <v>0</v>
      </c>
      <c r="F655" s="5"/>
      <c r="G655" s="7" t="s">
        <v>0</v>
      </c>
    </row>
    <row r="656" spans="1:7" ht="15" customHeight="1">
      <c r="A656" s="7" t="str">
        <f>"方雪"</f>
        <v>方雪</v>
      </c>
      <c r="B656" s="7">
        <v>20192229</v>
      </c>
      <c r="C656" s="7" t="s">
        <v>10</v>
      </c>
      <c r="D656" s="7">
        <v>0</v>
      </c>
      <c r="E656" s="6">
        <v>0</v>
      </c>
      <c r="F656" s="5"/>
      <c r="G656" s="7" t="s">
        <v>0</v>
      </c>
    </row>
    <row r="657" spans="1:7" ht="15" customHeight="1">
      <c r="A657" s="11" t="str">
        <f>"王奕颖"</f>
        <v>王奕颖</v>
      </c>
      <c r="B657" s="11">
        <v>20192308</v>
      </c>
      <c r="C657" s="11" t="s">
        <v>10</v>
      </c>
      <c r="D657" s="11">
        <v>0</v>
      </c>
      <c r="E657" s="10">
        <v>0</v>
      </c>
      <c r="F657" s="9"/>
      <c r="G657" s="11" t="s">
        <v>0</v>
      </c>
    </row>
    <row r="658" spans="1:7" ht="15" customHeight="1">
      <c r="A658" s="7" t="str">
        <f>"刘泽帮"</f>
        <v>刘泽帮</v>
      </c>
      <c r="B658" s="7">
        <v>20192311</v>
      </c>
      <c r="C658" s="7" t="s">
        <v>9</v>
      </c>
      <c r="D658" s="7">
        <v>61</v>
      </c>
      <c r="E658" s="6">
        <v>61</v>
      </c>
      <c r="F658" s="5">
        <v>1</v>
      </c>
      <c r="G658" s="7"/>
    </row>
    <row r="659" spans="1:7" ht="15" customHeight="1">
      <c r="A659" s="7" t="str">
        <f>"陈晓军"</f>
        <v>陈晓军</v>
      </c>
      <c r="B659" s="7">
        <v>20192310</v>
      </c>
      <c r="C659" s="7" t="s">
        <v>9</v>
      </c>
      <c r="D659" s="7">
        <v>49.5</v>
      </c>
      <c r="E659" s="6">
        <v>49.5</v>
      </c>
      <c r="F659" s="5">
        <v>2</v>
      </c>
      <c r="G659" s="7"/>
    </row>
    <row r="660" spans="1:7" ht="15" customHeight="1">
      <c r="A660" s="7" t="str">
        <f>"齐惠惠"</f>
        <v>齐惠惠</v>
      </c>
      <c r="B660" s="7">
        <v>20192313</v>
      </c>
      <c r="C660" s="7" t="s">
        <v>8</v>
      </c>
      <c r="D660" s="7">
        <v>83</v>
      </c>
      <c r="E660" s="6">
        <v>83</v>
      </c>
      <c r="F660" s="5">
        <f t="shared" ref="F660:F693" si="13">_xlfn.RANK.EQ(E660,$E$660:$E$693)</f>
        <v>1</v>
      </c>
      <c r="G660" s="7"/>
    </row>
    <row r="661" spans="1:7" ht="15" customHeight="1">
      <c r="A661" s="7" t="str">
        <f>"吴航"</f>
        <v>吴航</v>
      </c>
      <c r="B661" s="7">
        <v>20192326</v>
      </c>
      <c r="C661" s="7" t="s">
        <v>8</v>
      </c>
      <c r="D661" s="7">
        <v>83</v>
      </c>
      <c r="E661" s="6">
        <v>83</v>
      </c>
      <c r="F661" s="5">
        <f t="shared" si="13"/>
        <v>1</v>
      </c>
      <c r="G661" s="7"/>
    </row>
    <row r="662" spans="1:7" ht="15" customHeight="1">
      <c r="A662" s="7" t="str">
        <f>"庞英杰"</f>
        <v>庞英杰</v>
      </c>
      <c r="B662" s="7">
        <v>20192314</v>
      </c>
      <c r="C662" s="7" t="s">
        <v>8</v>
      </c>
      <c r="D662" s="7">
        <v>80.5</v>
      </c>
      <c r="E662" s="6">
        <v>80.5</v>
      </c>
      <c r="F662" s="5">
        <f t="shared" si="13"/>
        <v>3</v>
      </c>
      <c r="G662" s="7"/>
    </row>
    <row r="663" spans="1:7" ht="15" customHeight="1">
      <c r="A663" s="7" t="str">
        <f>"孙强"</f>
        <v>孙强</v>
      </c>
      <c r="B663" s="7">
        <v>20192406</v>
      </c>
      <c r="C663" s="7" t="s">
        <v>8</v>
      </c>
      <c r="D663" s="7">
        <v>80</v>
      </c>
      <c r="E663" s="6">
        <v>80</v>
      </c>
      <c r="F663" s="5">
        <f t="shared" si="13"/>
        <v>4</v>
      </c>
      <c r="G663" s="7"/>
    </row>
    <row r="664" spans="1:7" ht="15" customHeight="1">
      <c r="A664" s="7" t="str">
        <f>"王玮"</f>
        <v>王玮</v>
      </c>
      <c r="B664" s="7">
        <v>20192329</v>
      </c>
      <c r="C664" s="7" t="s">
        <v>8</v>
      </c>
      <c r="D664" s="7">
        <v>79.5</v>
      </c>
      <c r="E664" s="6">
        <v>79.5</v>
      </c>
      <c r="F664" s="5">
        <f t="shared" si="13"/>
        <v>5</v>
      </c>
      <c r="G664" s="7"/>
    </row>
    <row r="665" spans="1:7" ht="15" customHeight="1">
      <c r="A665" s="7" t="str">
        <f>"刘宇"</f>
        <v>刘宇</v>
      </c>
      <c r="B665" s="7">
        <v>20192409</v>
      </c>
      <c r="C665" s="7" t="s">
        <v>8</v>
      </c>
      <c r="D665" s="7">
        <v>79</v>
      </c>
      <c r="E665" s="6">
        <v>79</v>
      </c>
      <c r="F665" s="5">
        <f t="shared" si="13"/>
        <v>6</v>
      </c>
      <c r="G665" s="7"/>
    </row>
    <row r="666" spans="1:7" ht="15" customHeight="1">
      <c r="A666" s="7" t="str">
        <f>"史聪惠"</f>
        <v>史聪惠</v>
      </c>
      <c r="B666" s="7">
        <v>20192403</v>
      </c>
      <c r="C666" s="7" t="s">
        <v>8</v>
      </c>
      <c r="D666" s="7">
        <v>78</v>
      </c>
      <c r="E666" s="6">
        <v>78</v>
      </c>
      <c r="F666" s="5">
        <f t="shared" si="13"/>
        <v>7</v>
      </c>
      <c r="G666" s="7"/>
    </row>
    <row r="667" spans="1:7" ht="15" customHeight="1">
      <c r="A667" s="7" t="str">
        <f>"李杰"</f>
        <v>李杰</v>
      </c>
      <c r="B667" s="7">
        <v>20192328</v>
      </c>
      <c r="C667" s="7" t="s">
        <v>8</v>
      </c>
      <c r="D667" s="7">
        <v>77</v>
      </c>
      <c r="E667" s="6">
        <v>77</v>
      </c>
      <c r="F667" s="5">
        <f t="shared" si="13"/>
        <v>8</v>
      </c>
      <c r="G667" s="7"/>
    </row>
    <row r="668" spans="1:7" ht="15" customHeight="1">
      <c r="A668" s="7" t="str">
        <f>"史惠"</f>
        <v>史惠</v>
      </c>
      <c r="B668" s="7">
        <v>20192413</v>
      </c>
      <c r="C668" s="7" t="s">
        <v>8</v>
      </c>
      <c r="D668" s="7">
        <v>77</v>
      </c>
      <c r="E668" s="6">
        <v>77</v>
      </c>
      <c r="F668" s="5">
        <f t="shared" si="13"/>
        <v>8</v>
      </c>
      <c r="G668" s="7"/>
    </row>
    <row r="669" spans="1:7" ht="15" customHeight="1">
      <c r="A669" s="11" t="str">
        <f>"赵晗玉"</f>
        <v>赵晗玉</v>
      </c>
      <c r="B669" s="11">
        <v>20192321</v>
      </c>
      <c r="C669" s="11" t="s">
        <v>8</v>
      </c>
      <c r="D669" s="11">
        <v>75.5</v>
      </c>
      <c r="E669" s="10">
        <v>75.5</v>
      </c>
      <c r="F669" s="5">
        <f t="shared" si="13"/>
        <v>10</v>
      </c>
      <c r="G669" s="11"/>
    </row>
    <row r="670" spans="1:7" ht="15" customHeight="1">
      <c r="A670" s="7" t="str">
        <f>"徐哲"</f>
        <v>徐哲</v>
      </c>
      <c r="B670" s="7">
        <v>20192405</v>
      </c>
      <c r="C670" s="7" t="s">
        <v>8</v>
      </c>
      <c r="D670" s="7">
        <v>75.5</v>
      </c>
      <c r="E670" s="6">
        <v>75.5</v>
      </c>
      <c r="F670" s="5">
        <f t="shared" si="13"/>
        <v>10</v>
      </c>
      <c r="G670" s="7"/>
    </row>
    <row r="671" spans="1:7" ht="15" customHeight="1">
      <c r="A671" s="7" t="str">
        <f>"胡雪"</f>
        <v>胡雪</v>
      </c>
      <c r="B671" s="7">
        <v>20192411</v>
      </c>
      <c r="C671" s="7" t="s">
        <v>8</v>
      </c>
      <c r="D671" s="7">
        <v>75.5</v>
      </c>
      <c r="E671" s="6">
        <v>75.5</v>
      </c>
      <c r="F671" s="5">
        <f t="shared" si="13"/>
        <v>10</v>
      </c>
      <c r="G671" s="7"/>
    </row>
    <row r="672" spans="1:7" ht="15" customHeight="1">
      <c r="A672" s="7" t="str">
        <f>"赵梦垚"</f>
        <v>赵梦垚</v>
      </c>
      <c r="B672" s="7">
        <v>20192322</v>
      </c>
      <c r="C672" s="7" t="s">
        <v>8</v>
      </c>
      <c r="D672" s="7">
        <v>75</v>
      </c>
      <c r="E672" s="6">
        <v>75</v>
      </c>
      <c r="F672" s="5">
        <f t="shared" si="13"/>
        <v>13</v>
      </c>
      <c r="G672" s="7"/>
    </row>
    <row r="673" spans="1:7" ht="15" customHeight="1">
      <c r="A673" s="7" t="str">
        <f>"徐垚"</f>
        <v>徐垚</v>
      </c>
      <c r="B673" s="7">
        <v>20192330</v>
      </c>
      <c r="C673" s="7" t="s">
        <v>8</v>
      </c>
      <c r="D673" s="7">
        <v>75</v>
      </c>
      <c r="E673" s="6">
        <v>75</v>
      </c>
      <c r="F673" s="5">
        <f t="shared" si="13"/>
        <v>13</v>
      </c>
      <c r="G673" s="7"/>
    </row>
    <row r="674" spans="1:7" ht="15" customHeight="1">
      <c r="A674" s="7" t="str">
        <f>"梅家聘"</f>
        <v>梅家聘</v>
      </c>
      <c r="B674" s="7">
        <v>20192318</v>
      </c>
      <c r="C674" s="7" t="s">
        <v>8</v>
      </c>
      <c r="D674" s="7">
        <v>74</v>
      </c>
      <c r="E674" s="6">
        <v>74</v>
      </c>
      <c r="F674" s="5">
        <f t="shared" si="13"/>
        <v>15</v>
      </c>
      <c r="G674" s="7"/>
    </row>
    <row r="675" spans="1:7" ht="15" customHeight="1">
      <c r="A675" s="7" t="str">
        <f>"刘永静"</f>
        <v>刘永静</v>
      </c>
      <c r="B675" s="7">
        <v>20192418</v>
      </c>
      <c r="C675" s="7" t="s">
        <v>8</v>
      </c>
      <c r="D675" s="7">
        <v>73.5</v>
      </c>
      <c r="E675" s="6">
        <v>73.5</v>
      </c>
      <c r="F675" s="5">
        <f t="shared" si="13"/>
        <v>16</v>
      </c>
      <c r="G675" s="7"/>
    </row>
    <row r="676" spans="1:7" ht="15" customHeight="1">
      <c r="A676" s="7" t="str">
        <f>"高兴"</f>
        <v>高兴</v>
      </c>
      <c r="B676" s="7">
        <v>20192312</v>
      </c>
      <c r="C676" s="7" t="s">
        <v>8</v>
      </c>
      <c r="D676" s="7">
        <v>72.5</v>
      </c>
      <c r="E676" s="6">
        <v>72.5</v>
      </c>
      <c r="F676" s="5">
        <f t="shared" si="13"/>
        <v>17</v>
      </c>
      <c r="G676" s="7"/>
    </row>
    <row r="677" spans="1:7" ht="15" customHeight="1">
      <c r="A677" s="7" t="str">
        <f>"郑琳"</f>
        <v>郑琳</v>
      </c>
      <c r="B677" s="7">
        <v>20192408</v>
      </c>
      <c r="C677" s="7" t="s">
        <v>8</v>
      </c>
      <c r="D677" s="7">
        <v>72.5</v>
      </c>
      <c r="E677" s="6">
        <v>72.5</v>
      </c>
      <c r="F677" s="5">
        <f t="shared" si="13"/>
        <v>17</v>
      </c>
      <c r="G677" s="7"/>
    </row>
    <row r="678" spans="1:7" ht="15" customHeight="1">
      <c r="A678" s="7" t="str">
        <f>"李悦"</f>
        <v>李悦</v>
      </c>
      <c r="B678" s="7">
        <v>20192401</v>
      </c>
      <c r="C678" s="7" t="s">
        <v>8</v>
      </c>
      <c r="D678" s="7">
        <v>72</v>
      </c>
      <c r="E678" s="6">
        <v>72</v>
      </c>
      <c r="F678" s="5">
        <f t="shared" si="13"/>
        <v>19</v>
      </c>
      <c r="G678" s="7"/>
    </row>
    <row r="679" spans="1:7" ht="15" customHeight="1">
      <c r="A679" s="7" t="str">
        <f>"于梦"</f>
        <v>于梦</v>
      </c>
      <c r="B679" s="7">
        <v>20192327</v>
      </c>
      <c r="C679" s="7" t="s">
        <v>8</v>
      </c>
      <c r="D679" s="7">
        <v>71.5</v>
      </c>
      <c r="E679" s="6">
        <v>71.5</v>
      </c>
      <c r="F679" s="5">
        <f t="shared" si="13"/>
        <v>20</v>
      </c>
      <c r="G679" s="7"/>
    </row>
    <row r="680" spans="1:7" ht="15" customHeight="1">
      <c r="A680" s="7" t="str">
        <f>"张蒙丽"</f>
        <v>张蒙丽</v>
      </c>
      <c r="B680" s="7">
        <v>20192414</v>
      </c>
      <c r="C680" s="7" t="s">
        <v>8</v>
      </c>
      <c r="D680" s="7">
        <v>70.5</v>
      </c>
      <c r="E680" s="6">
        <v>70.5</v>
      </c>
      <c r="F680" s="5">
        <f t="shared" si="13"/>
        <v>21</v>
      </c>
      <c r="G680" s="7"/>
    </row>
    <row r="681" spans="1:7" ht="15" customHeight="1">
      <c r="A681" s="7" t="str">
        <f>"曹梦虹"</f>
        <v>曹梦虹</v>
      </c>
      <c r="B681" s="7">
        <v>20192315</v>
      </c>
      <c r="C681" s="7" t="s">
        <v>8</v>
      </c>
      <c r="D681" s="7">
        <v>70</v>
      </c>
      <c r="E681" s="6">
        <v>70</v>
      </c>
      <c r="F681" s="5">
        <f t="shared" si="13"/>
        <v>22</v>
      </c>
      <c r="G681" s="7"/>
    </row>
    <row r="682" spans="1:7" ht="15" customHeight="1">
      <c r="A682" s="7" t="str">
        <f>"江映月"</f>
        <v>江映月</v>
      </c>
      <c r="B682" s="7">
        <v>20192319</v>
      </c>
      <c r="C682" s="7" t="s">
        <v>8</v>
      </c>
      <c r="D682" s="7">
        <v>70</v>
      </c>
      <c r="E682" s="6">
        <v>70</v>
      </c>
      <c r="F682" s="5">
        <f t="shared" si="13"/>
        <v>22</v>
      </c>
      <c r="G682" s="7"/>
    </row>
    <row r="683" spans="1:7" ht="15" customHeight="1">
      <c r="A683" s="11" t="str">
        <f>"海聪"</f>
        <v>海聪</v>
      </c>
      <c r="B683" s="11">
        <v>20192324</v>
      </c>
      <c r="C683" s="11" t="s">
        <v>8</v>
      </c>
      <c r="D683" s="11">
        <v>70</v>
      </c>
      <c r="E683" s="10">
        <v>70</v>
      </c>
      <c r="F683" s="5">
        <f t="shared" si="13"/>
        <v>22</v>
      </c>
      <c r="G683" s="11"/>
    </row>
    <row r="684" spans="1:7" ht="15" customHeight="1">
      <c r="A684" s="7" t="str">
        <f>"齐盼亭"</f>
        <v>齐盼亭</v>
      </c>
      <c r="B684" s="7">
        <v>20192402</v>
      </c>
      <c r="C684" s="7" t="s">
        <v>8</v>
      </c>
      <c r="D684" s="7">
        <v>69.5</v>
      </c>
      <c r="E684" s="6">
        <v>69.5</v>
      </c>
      <c r="F684" s="5">
        <f t="shared" si="13"/>
        <v>25</v>
      </c>
      <c r="G684" s="7"/>
    </row>
    <row r="685" spans="1:7" ht="15" customHeight="1">
      <c r="A685" s="7" t="str">
        <f>"王萌杨"</f>
        <v>王萌杨</v>
      </c>
      <c r="B685" s="7">
        <v>20192323</v>
      </c>
      <c r="C685" s="7" t="s">
        <v>8</v>
      </c>
      <c r="D685" s="7">
        <v>69</v>
      </c>
      <c r="E685" s="6">
        <v>69</v>
      </c>
      <c r="F685" s="5">
        <f t="shared" si="13"/>
        <v>26</v>
      </c>
      <c r="G685" s="7"/>
    </row>
    <row r="686" spans="1:7" ht="15" customHeight="1">
      <c r="A686" s="7" t="str">
        <f>"张路菲"</f>
        <v>张路菲</v>
      </c>
      <c r="B686" s="7">
        <v>20192417</v>
      </c>
      <c r="C686" s="7" t="s">
        <v>8</v>
      </c>
      <c r="D686" s="7">
        <v>68</v>
      </c>
      <c r="E686" s="6">
        <v>68</v>
      </c>
      <c r="F686" s="5">
        <f t="shared" si="13"/>
        <v>27</v>
      </c>
      <c r="G686" s="7"/>
    </row>
    <row r="687" spans="1:7" ht="15" customHeight="1">
      <c r="A687" s="7" t="str">
        <f>"齐朋鑫"</f>
        <v>齐朋鑫</v>
      </c>
      <c r="B687" s="7">
        <v>20192412</v>
      </c>
      <c r="C687" s="7" t="s">
        <v>8</v>
      </c>
      <c r="D687" s="7">
        <v>67</v>
      </c>
      <c r="E687" s="6">
        <v>67</v>
      </c>
      <c r="F687" s="5">
        <f t="shared" si="13"/>
        <v>28</v>
      </c>
      <c r="G687" s="7"/>
    </row>
    <row r="688" spans="1:7" ht="15" customHeight="1">
      <c r="A688" s="7" t="str">
        <f>"张晗"</f>
        <v>张晗</v>
      </c>
      <c r="B688" s="7">
        <v>20192325</v>
      </c>
      <c r="C688" s="7" t="s">
        <v>8</v>
      </c>
      <c r="D688" s="7">
        <v>66</v>
      </c>
      <c r="E688" s="6">
        <v>66</v>
      </c>
      <c r="F688" s="5">
        <f t="shared" si="13"/>
        <v>29</v>
      </c>
      <c r="G688" s="7"/>
    </row>
    <row r="689" spans="1:7" ht="15" customHeight="1">
      <c r="A689" s="7" t="str">
        <f>"丁佳佳"</f>
        <v>丁佳佳</v>
      </c>
      <c r="B689" s="7">
        <v>20192410</v>
      </c>
      <c r="C689" s="7" t="s">
        <v>8</v>
      </c>
      <c r="D689" s="7">
        <v>66</v>
      </c>
      <c r="E689" s="6">
        <v>66</v>
      </c>
      <c r="F689" s="5">
        <f t="shared" si="13"/>
        <v>29</v>
      </c>
      <c r="G689" s="7"/>
    </row>
    <row r="690" spans="1:7" ht="15" customHeight="1">
      <c r="A690" s="7" t="str">
        <f>"高甜"</f>
        <v>高甜</v>
      </c>
      <c r="B690" s="7">
        <v>20192416</v>
      </c>
      <c r="C690" s="7" t="s">
        <v>8</v>
      </c>
      <c r="D690" s="7">
        <v>63.5</v>
      </c>
      <c r="E690" s="6">
        <v>63.5</v>
      </c>
      <c r="F690" s="5">
        <f t="shared" si="13"/>
        <v>31</v>
      </c>
      <c r="G690" s="7"/>
    </row>
    <row r="691" spans="1:7" ht="15" customHeight="1">
      <c r="A691" s="7" t="str">
        <f>"杜文然"</f>
        <v>杜文然</v>
      </c>
      <c r="B691" s="7">
        <v>20192316</v>
      </c>
      <c r="C691" s="7" t="s">
        <v>8</v>
      </c>
      <c r="D691" s="7">
        <v>62.5</v>
      </c>
      <c r="E691" s="6">
        <v>62.5</v>
      </c>
      <c r="F691" s="5">
        <f t="shared" si="13"/>
        <v>32</v>
      </c>
      <c r="G691" s="7"/>
    </row>
    <row r="692" spans="1:7" ht="15" customHeight="1">
      <c r="A692" s="7" t="str">
        <f>"周一春"</f>
        <v>周一春</v>
      </c>
      <c r="B692" s="7">
        <v>20192407</v>
      </c>
      <c r="C692" s="7" t="s">
        <v>8</v>
      </c>
      <c r="D692" s="7">
        <v>62</v>
      </c>
      <c r="E692" s="6">
        <v>62</v>
      </c>
      <c r="F692" s="5">
        <f t="shared" si="13"/>
        <v>33</v>
      </c>
      <c r="G692" s="7"/>
    </row>
    <row r="693" spans="1:7" ht="15" customHeight="1">
      <c r="A693" s="7" t="str">
        <f>"梁晗"</f>
        <v>梁晗</v>
      </c>
      <c r="B693" s="7">
        <v>20192317</v>
      </c>
      <c r="C693" s="7" t="s">
        <v>8</v>
      </c>
      <c r="D693" s="7">
        <v>61.5</v>
      </c>
      <c r="E693" s="6">
        <v>61.5</v>
      </c>
      <c r="F693" s="5">
        <f t="shared" si="13"/>
        <v>34</v>
      </c>
      <c r="G693" s="7"/>
    </row>
    <row r="694" spans="1:7" ht="15" customHeight="1">
      <c r="A694" s="11" t="str">
        <f>"刘妍"</f>
        <v>刘妍</v>
      </c>
      <c r="B694" s="11">
        <v>20192320</v>
      </c>
      <c r="C694" s="11" t="s">
        <v>8</v>
      </c>
      <c r="D694" s="11">
        <v>0</v>
      </c>
      <c r="E694" s="6">
        <v>0</v>
      </c>
      <c r="F694" s="9"/>
      <c r="G694" s="11" t="s">
        <v>0</v>
      </c>
    </row>
    <row r="695" spans="1:7" ht="15" customHeight="1">
      <c r="A695" s="7" t="str">
        <f>"李梦柯"</f>
        <v>李梦柯</v>
      </c>
      <c r="B695" s="7">
        <v>20192404</v>
      </c>
      <c r="C695" s="7" t="s">
        <v>8</v>
      </c>
      <c r="D695" s="7">
        <v>0</v>
      </c>
      <c r="E695" s="6">
        <v>0</v>
      </c>
      <c r="F695" s="5"/>
      <c r="G695" s="7" t="s">
        <v>0</v>
      </c>
    </row>
    <row r="696" spans="1:7" ht="15" customHeight="1">
      <c r="A696" s="7" t="str">
        <f>"乔丹"</f>
        <v>乔丹</v>
      </c>
      <c r="B696" s="7">
        <v>20192415</v>
      </c>
      <c r="C696" s="7" t="s">
        <v>8</v>
      </c>
      <c r="D696" s="7">
        <v>0</v>
      </c>
      <c r="E696" s="6">
        <v>0</v>
      </c>
      <c r="F696" s="5"/>
      <c r="G696" s="7" t="s">
        <v>0</v>
      </c>
    </row>
    <row r="697" spans="1:7" ht="15" customHeight="1">
      <c r="A697" s="7" t="str">
        <f>"李金"</f>
        <v>李金</v>
      </c>
      <c r="B697" s="7">
        <v>20192516</v>
      </c>
      <c r="C697" s="7" t="s">
        <v>7</v>
      </c>
      <c r="D697" s="7">
        <v>79</v>
      </c>
      <c r="E697" s="6">
        <v>79</v>
      </c>
      <c r="F697" s="5">
        <f t="shared" ref="F697:F728" si="14">_xlfn.RANK.EQ(E697,$E$697:$E$817)</f>
        <v>1</v>
      </c>
      <c r="G697" s="7"/>
    </row>
    <row r="698" spans="1:7" ht="15" customHeight="1">
      <c r="A698" s="7" t="str">
        <f>"肖凡丽"</f>
        <v>肖凡丽</v>
      </c>
      <c r="B698" s="7">
        <v>20192803</v>
      </c>
      <c r="C698" s="7" t="s">
        <v>7</v>
      </c>
      <c r="D698" s="7">
        <v>78</v>
      </c>
      <c r="E698" s="6">
        <v>78</v>
      </c>
      <c r="F698" s="5">
        <f t="shared" si="14"/>
        <v>2</v>
      </c>
      <c r="G698" s="7"/>
    </row>
    <row r="699" spans="1:7" ht="15" customHeight="1">
      <c r="A699" s="7" t="str">
        <f>"郭天雨"</f>
        <v>郭天雨</v>
      </c>
      <c r="B699" s="7">
        <v>20192724</v>
      </c>
      <c r="C699" s="7" t="s">
        <v>7</v>
      </c>
      <c r="D699" s="7">
        <v>76.5</v>
      </c>
      <c r="E699" s="6">
        <v>76.5</v>
      </c>
      <c r="F699" s="5">
        <f t="shared" si="14"/>
        <v>3</v>
      </c>
      <c r="G699" s="7"/>
    </row>
    <row r="700" spans="1:7" ht="15" customHeight="1">
      <c r="A700" s="7" t="str">
        <f>"卢莉莉"</f>
        <v>卢莉莉</v>
      </c>
      <c r="B700" s="7">
        <v>20192705</v>
      </c>
      <c r="C700" s="7" t="s">
        <v>7</v>
      </c>
      <c r="D700" s="7">
        <v>73</v>
      </c>
      <c r="E700" s="6">
        <v>73</v>
      </c>
      <c r="F700" s="5">
        <f t="shared" si="14"/>
        <v>4</v>
      </c>
      <c r="G700" s="7"/>
    </row>
    <row r="701" spans="1:7" ht="15" customHeight="1">
      <c r="A701" s="7" t="str">
        <f>"刘宁"</f>
        <v>刘宁</v>
      </c>
      <c r="B701" s="7">
        <v>20192728</v>
      </c>
      <c r="C701" s="7" t="s">
        <v>7</v>
      </c>
      <c r="D701" s="7">
        <v>72</v>
      </c>
      <c r="E701" s="6">
        <v>72</v>
      </c>
      <c r="F701" s="5">
        <f t="shared" si="14"/>
        <v>5</v>
      </c>
      <c r="G701" s="7"/>
    </row>
    <row r="702" spans="1:7" ht="15" customHeight="1">
      <c r="A702" s="7" t="str">
        <f>"宋亚丽"</f>
        <v>宋亚丽</v>
      </c>
      <c r="B702" s="7">
        <v>20192522</v>
      </c>
      <c r="C702" s="7" t="s">
        <v>7</v>
      </c>
      <c r="D702" s="7">
        <v>71.5</v>
      </c>
      <c r="E702" s="6">
        <v>71.5</v>
      </c>
      <c r="F702" s="5">
        <f t="shared" si="14"/>
        <v>6</v>
      </c>
      <c r="G702" s="7"/>
    </row>
    <row r="703" spans="1:7" ht="15" customHeight="1">
      <c r="A703" s="7" t="str">
        <f>"孙俊艳"</f>
        <v>孙俊艳</v>
      </c>
      <c r="B703" s="7">
        <v>20192629</v>
      </c>
      <c r="C703" s="7" t="s">
        <v>7</v>
      </c>
      <c r="D703" s="7">
        <v>71.5</v>
      </c>
      <c r="E703" s="6">
        <v>71.5</v>
      </c>
      <c r="F703" s="5">
        <f t="shared" si="14"/>
        <v>6</v>
      </c>
      <c r="G703" s="7"/>
    </row>
    <row r="704" spans="1:7" ht="15" customHeight="1">
      <c r="A704" s="7" t="str">
        <f>"喻莹莹"</f>
        <v>喻莹莹</v>
      </c>
      <c r="B704" s="7">
        <v>20192804</v>
      </c>
      <c r="C704" s="7" t="s">
        <v>7</v>
      </c>
      <c r="D704" s="7">
        <v>71.5</v>
      </c>
      <c r="E704" s="6">
        <v>71.5</v>
      </c>
      <c r="F704" s="5">
        <f t="shared" si="14"/>
        <v>6</v>
      </c>
      <c r="G704" s="7"/>
    </row>
    <row r="705" spans="1:7" ht="15" customHeight="1">
      <c r="A705" s="7" t="str">
        <f>"乔丽彬"</f>
        <v>乔丽彬</v>
      </c>
      <c r="B705" s="7">
        <v>20192507</v>
      </c>
      <c r="C705" s="7" t="s">
        <v>7</v>
      </c>
      <c r="D705" s="7">
        <v>69.5</v>
      </c>
      <c r="E705" s="6">
        <v>69.5</v>
      </c>
      <c r="F705" s="5">
        <f t="shared" si="14"/>
        <v>9</v>
      </c>
      <c r="G705" s="7"/>
    </row>
    <row r="706" spans="1:7" ht="15" customHeight="1">
      <c r="A706" s="7" t="str">
        <f>"刘婉莹"</f>
        <v>刘婉莹</v>
      </c>
      <c r="B706" s="7">
        <v>20192623</v>
      </c>
      <c r="C706" s="7" t="s">
        <v>7</v>
      </c>
      <c r="D706" s="7">
        <v>69.5</v>
      </c>
      <c r="E706" s="6">
        <v>69.5</v>
      </c>
      <c r="F706" s="5">
        <f t="shared" si="14"/>
        <v>9</v>
      </c>
      <c r="G706" s="7"/>
    </row>
    <row r="707" spans="1:7" ht="15" customHeight="1">
      <c r="A707" s="7" t="str">
        <f>"夏冬冬"</f>
        <v>夏冬冬</v>
      </c>
      <c r="B707" s="7">
        <v>20192702</v>
      </c>
      <c r="C707" s="7" t="s">
        <v>7</v>
      </c>
      <c r="D707" s="7">
        <v>69.5</v>
      </c>
      <c r="E707" s="6">
        <v>69.5</v>
      </c>
      <c r="F707" s="5">
        <f t="shared" si="14"/>
        <v>9</v>
      </c>
      <c r="G707" s="7"/>
    </row>
    <row r="708" spans="1:7" ht="15" customHeight="1">
      <c r="A708" s="7" t="str">
        <f>"马俊亚"</f>
        <v>马俊亚</v>
      </c>
      <c r="B708" s="7">
        <v>20192517</v>
      </c>
      <c r="C708" s="7" t="s">
        <v>7</v>
      </c>
      <c r="D708" s="7">
        <v>69</v>
      </c>
      <c r="E708" s="6">
        <v>69</v>
      </c>
      <c r="F708" s="5">
        <f t="shared" si="14"/>
        <v>12</v>
      </c>
      <c r="G708" s="7"/>
    </row>
    <row r="709" spans="1:7" ht="15" customHeight="1">
      <c r="A709" s="7" t="str">
        <f>"马会娟"</f>
        <v>马会娟</v>
      </c>
      <c r="B709" s="7">
        <v>20192515</v>
      </c>
      <c r="C709" s="7" t="s">
        <v>7</v>
      </c>
      <c r="D709" s="7">
        <v>68.5</v>
      </c>
      <c r="E709" s="6">
        <v>68.5</v>
      </c>
      <c r="F709" s="5">
        <f t="shared" si="14"/>
        <v>13</v>
      </c>
      <c r="G709" s="7"/>
    </row>
    <row r="710" spans="1:7" ht="15" customHeight="1">
      <c r="A710" s="7" t="str">
        <f>"李春闪"</f>
        <v>李春闪</v>
      </c>
      <c r="B710" s="7">
        <v>20192818</v>
      </c>
      <c r="C710" s="7" t="s">
        <v>7</v>
      </c>
      <c r="D710" s="7">
        <v>68.5</v>
      </c>
      <c r="E710" s="6">
        <v>68.5</v>
      </c>
      <c r="F710" s="5">
        <f t="shared" si="14"/>
        <v>13</v>
      </c>
      <c r="G710" s="7"/>
    </row>
    <row r="711" spans="1:7" ht="15" customHeight="1">
      <c r="A711" s="7" t="str">
        <f>"王冰"</f>
        <v>王冰</v>
      </c>
      <c r="B711" s="7">
        <v>20192609</v>
      </c>
      <c r="C711" s="7" t="s">
        <v>7</v>
      </c>
      <c r="D711" s="7">
        <v>68</v>
      </c>
      <c r="E711" s="6">
        <v>68</v>
      </c>
      <c r="F711" s="5">
        <f t="shared" si="14"/>
        <v>15</v>
      </c>
      <c r="G711" s="7"/>
    </row>
    <row r="712" spans="1:7" ht="15" customHeight="1">
      <c r="A712" s="7" t="str">
        <f>"郭铭莹"</f>
        <v>郭铭莹</v>
      </c>
      <c r="B712" s="7">
        <v>20192701</v>
      </c>
      <c r="C712" s="7" t="s">
        <v>7</v>
      </c>
      <c r="D712" s="7">
        <v>68</v>
      </c>
      <c r="E712" s="6">
        <v>68</v>
      </c>
      <c r="F712" s="5">
        <f t="shared" si="14"/>
        <v>15</v>
      </c>
      <c r="G712" s="7"/>
    </row>
    <row r="713" spans="1:7" ht="15" customHeight="1">
      <c r="A713" s="7" t="str">
        <f>"曹金"</f>
        <v>曹金</v>
      </c>
      <c r="B713" s="7">
        <v>20192711</v>
      </c>
      <c r="C713" s="7" t="s">
        <v>7</v>
      </c>
      <c r="D713" s="7">
        <v>68</v>
      </c>
      <c r="E713" s="6">
        <v>68</v>
      </c>
      <c r="F713" s="5">
        <f t="shared" si="14"/>
        <v>15</v>
      </c>
      <c r="G713" s="7"/>
    </row>
    <row r="714" spans="1:7" ht="15" customHeight="1">
      <c r="A714" s="7" t="str">
        <f>"段亚芳"</f>
        <v>段亚芳</v>
      </c>
      <c r="B714" s="7">
        <v>20192720</v>
      </c>
      <c r="C714" s="7" t="s">
        <v>7</v>
      </c>
      <c r="D714" s="7">
        <v>67.5</v>
      </c>
      <c r="E714" s="6">
        <v>67.5</v>
      </c>
      <c r="F714" s="5">
        <f t="shared" si="14"/>
        <v>18</v>
      </c>
      <c r="G714" s="7"/>
    </row>
    <row r="715" spans="1:7" ht="15" customHeight="1">
      <c r="A715" s="7" t="str">
        <f>"乔菲"</f>
        <v>乔菲</v>
      </c>
      <c r="B715" s="7">
        <v>20192706</v>
      </c>
      <c r="C715" s="7" t="s">
        <v>7</v>
      </c>
      <c r="D715" s="7">
        <v>67</v>
      </c>
      <c r="E715" s="6">
        <v>67</v>
      </c>
      <c r="F715" s="5">
        <f t="shared" si="14"/>
        <v>19</v>
      </c>
      <c r="G715" s="7"/>
    </row>
    <row r="716" spans="1:7" ht="15" customHeight="1">
      <c r="A716" s="7" t="str">
        <f>"苏波"</f>
        <v>苏波</v>
      </c>
      <c r="B716" s="7">
        <v>20192503</v>
      </c>
      <c r="C716" s="7" t="s">
        <v>7</v>
      </c>
      <c r="D716" s="7">
        <v>65.5</v>
      </c>
      <c r="E716" s="6">
        <v>65.5</v>
      </c>
      <c r="F716" s="5">
        <f t="shared" si="14"/>
        <v>20</v>
      </c>
      <c r="G716" s="7"/>
    </row>
    <row r="717" spans="1:7" ht="15" customHeight="1">
      <c r="A717" s="7" t="str">
        <f>"刘瑶佳"</f>
        <v>刘瑶佳</v>
      </c>
      <c r="B717" s="7">
        <v>20192512</v>
      </c>
      <c r="C717" s="7" t="s">
        <v>7</v>
      </c>
      <c r="D717" s="7">
        <v>65.5</v>
      </c>
      <c r="E717" s="6">
        <v>65.5</v>
      </c>
      <c r="F717" s="5">
        <f t="shared" si="14"/>
        <v>20</v>
      </c>
      <c r="G717" s="7"/>
    </row>
    <row r="718" spans="1:7" ht="15" customHeight="1">
      <c r="A718" s="7" t="str">
        <f>"郭伟"</f>
        <v>郭伟</v>
      </c>
      <c r="B718" s="7">
        <v>20192519</v>
      </c>
      <c r="C718" s="7" t="s">
        <v>7</v>
      </c>
      <c r="D718" s="7">
        <v>65.5</v>
      </c>
      <c r="E718" s="6">
        <v>65.5</v>
      </c>
      <c r="F718" s="5">
        <f t="shared" si="14"/>
        <v>20</v>
      </c>
      <c r="G718" s="7"/>
    </row>
    <row r="719" spans="1:7" ht="15" customHeight="1">
      <c r="A719" s="7" t="str">
        <f>"杨柳"</f>
        <v>杨柳</v>
      </c>
      <c r="B719" s="7">
        <v>20192726</v>
      </c>
      <c r="C719" s="7" t="s">
        <v>7</v>
      </c>
      <c r="D719" s="7">
        <v>65.5</v>
      </c>
      <c r="E719" s="6">
        <v>65.5</v>
      </c>
      <c r="F719" s="5">
        <f t="shared" si="14"/>
        <v>20</v>
      </c>
      <c r="G719" s="7"/>
    </row>
    <row r="720" spans="1:7" ht="15" customHeight="1">
      <c r="A720" s="7" t="str">
        <f>"符瑞娟"</f>
        <v>符瑞娟</v>
      </c>
      <c r="B720" s="7">
        <v>20192807</v>
      </c>
      <c r="C720" s="7" t="s">
        <v>7</v>
      </c>
      <c r="D720" s="7">
        <v>65.5</v>
      </c>
      <c r="E720" s="6">
        <v>65.5</v>
      </c>
      <c r="F720" s="5">
        <f t="shared" si="14"/>
        <v>20</v>
      </c>
      <c r="G720" s="7"/>
    </row>
    <row r="721" spans="1:7" ht="15" customHeight="1">
      <c r="A721" s="7" t="str">
        <f>"郭婷"</f>
        <v>郭婷</v>
      </c>
      <c r="B721" s="7">
        <v>20192602</v>
      </c>
      <c r="C721" s="7" t="s">
        <v>7</v>
      </c>
      <c r="D721" s="7">
        <v>65</v>
      </c>
      <c r="E721" s="6">
        <v>65</v>
      </c>
      <c r="F721" s="5">
        <f t="shared" si="14"/>
        <v>25</v>
      </c>
      <c r="G721" s="7"/>
    </row>
    <row r="722" spans="1:7" ht="15" customHeight="1">
      <c r="A722" s="7" t="str">
        <f>"彭倩倩"</f>
        <v>彭倩倩</v>
      </c>
      <c r="B722" s="7">
        <v>20192619</v>
      </c>
      <c r="C722" s="7" t="s">
        <v>7</v>
      </c>
      <c r="D722" s="7">
        <v>65</v>
      </c>
      <c r="E722" s="6">
        <v>65</v>
      </c>
      <c r="F722" s="5">
        <f t="shared" si="14"/>
        <v>25</v>
      </c>
      <c r="G722" s="7"/>
    </row>
    <row r="723" spans="1:7" ht="15" customHeight="1">
      <c r="A723" s="7" t="str">
        <f>"刘雪丽"</f>
        <v>刘雪丽</v>
      </c>
      <c r="B723" s="7">
        <v>20192529</v>
      </c>
      <c r="C723" s="7" t="s">
        <v>7</v>
      </c>
      <c r="D723" s="7">
        <v>64.5</v>
      </c>
      <c r="E723" s="6">
        <v>64.5</v>
      </c>
      <c r="F723" s="5">
        <f t="shared" si="14"/>
        <v>27</v>
      </c>
      <c r="G723" s="7"/>
    </row>
    <row r="724" spans="1:7" ht="15" customHeight="1">
      <c r="A724" s="7" t="str">
        <f>"曾晨"</f>
        <v>曾晨</v>
      </c>
      <c r="B724" s="7">
        <v>20192605</v>
      </c>
      <c r="C724" s="7" t="s">
        <v>7</v>
      </c>
      <c r="D724" s="7">
        <v>64.5</v>
      </c>
      <c r="E724" s="6">
        <v>64.5</v>
      </c>
      <c r="F724" s="5">
        <f t="shared" si="14"/>
        <v>27</v>
      </c>
      <c r="G724" s="7"/>
    </row>
    <row r="725" spans="1:7" ht="15" customHeight="1">
      <c r="A725" s="7" t="str">
        <f>"梁一帆"</f>
        <v>梁一帆</v>
      </c>
      <c r="B725" s="7">
        <v>20192704</v>
      </c>
      <c r="C725" s="7" t="s">
        <v>7</v>
      </c>
      <c r="D725" s="7">
        <v>64.5</v>
      </c>
      <c r="E725" s="6">
        <v>64.5</v>
      </c>
      <c r="F725" s="5">
        <f t="shared" si="14"/>
        <v>27</v>
      </c>
      <c r="G725" s="7"/>
    </row>
    <row r="726" spans="1:7" ht="15" customHeight="1">
      <c r="A726" s="7" t="str">
        <f>"郭铭薇"</f>
        <v>郭铭薇</v>
      </c>
      <c r="B726" s="7">
        <v>20192709</v>
      </c>
      <c r="C726" s="7" t="s">
        <v>7</v>
      </c>
      <c r="D726" s="7">
        <v>64.5</v>
      </c>
      <c r="E726" s="6">
        <v>64.5</v>
      </c>
      <c r="F726" s="5">
        <f t="shared" si="14"/>
        <v>27</v>
      </c>
      <c r="G726" s="7"/>
    </row>
    <row r="727" spans="1:7" ht="15" customHeight="1">
      <c r="A727" s="7" t="str">
        <f>"徐雪妍"</f>
        <v>徐雪妍</v>
      </c>
      <c r="B727" s="7">
        <v>20192801</v>
      </c>
      <c r="C727" s="7" t="s">
        <v>7</v>
      </c>
      <c r="D727" s="7">
        <v>64</v>
      </c>
      <c r="E727" s="6">
        <v>64</v>
      </c>
      <c r="F727" s="5">
        <f t="shared" si="14"/>
        <v>31</v>
      </c>
      <c r="G727" s="7"/>
    </row>
    <row r="728" spans="1:7" ht="15" customHeight="1">
      <c r="A728" s="7" t="str">
        <f>"刘清亚"</f>
        <v>刘清亚</v>
      </c>
      <c r="B728" s="7">
        <v>20192812</v>
      </c>
      <c r="C728" s="7" t="s">
        <v>7</v>
      </c>
      <c r="D728" s="7">
        <v>64</v>
      </c>
      <c r="E728" s="6">
        <v>64</v>
      </c>
      <c r="F728" s="5">
        <f t="shared" si="14"/>
        <v>31</v>
      </c>
      <c r="G728" s="7"/>
    </row>
    <row r="729" spans="1:7" ht="15" customHeight="1">
      <c r="A729" s="7" t="str">
        <f>"陈俊怡"</f>
        <v>陈俊怡</v>
      </c>
      <c r="B729" s="7">
        <v>20192508</v>
      </c>
      <c r="C729" s="7" t="s">
        <v>7</v>
      </c>
      <c r="D729" s="7">
        <v>63.5</v>
      </c>
      <c r="E729" s="6">
        <v>63.5</v>
      </c>
      <c r="F729" s="5">
        <f t="shared" ref="F729:F760" si="15">_xlfn.RANK.EQ(E729,$E$697:$E$817)</f>
        <v>33</v>
      </c>
      <c r="G729" s="7"/>
    </row>
    <row r="730" spans="1:7" ht="15" customHeight="1">
      <c r="A730" s="7" t="str">
        <f>"朱曼扬"</f>
        <v>朱曼扬</v>
      </c>
      <c r="B730" s="7">
        <v>20192524</v>
      </c>
      <c r="C730" s="7" t="s">
        <v>7</v>
      </c>
      <c r="D730" s="7">
        <v>63.5</v>
      </c>
      <c r="E730" s="6">
        <v>63.5</v>
      </c>
      <c r="F730" s="5">
        <f t="shared" si="15"/>
        <v>33</v>
      </c>
      <c r="G730" s="7"/>
    </row>
    <row r="731" spans="1:7" ht="15" customHeight="1">
      <c r="A731" s="7" t="str">
        <f>"刘倩"</f>
        <v>刘倩</v>
      </c>
      <c r="B731" s="7">
        <v>20192607</v>
      </c>
      <c r="C731" s="7" t="s">
        <v>7</v>
      </c>
      <c r="D731" s="7">
        <v>63.5</v>
      </c>
      <c r="E731" s="6">
        <v>63.5</v>
      </c>
      <c r="F731" s="5">
        <f t="shared" si="15"/>
        <v>33</v>
      </c>
      <c r="G731" s="7"/>
    </row>
    <row r="732" spans="1:7" ht="15" customHeight="1">
      <c r="A732" s="7" t="str">
        <f>"曾姣"</f>
        <v>曾姣</v>
      </c>
      <c r="B732" s="7">
        <v>20192621</v>
      </c>
      <c r="C732" s="7" t="s">
        <v>7</v>
      </c>
      <c r="D732" s="7">
        <v>63.5</v>
      </c>
      <c r="E732" s="6">
        <v>63.5</v>
      </c>
      <c r="F732" s="5">
        <f t="shared" si="15"/>
        <v>33</v>
      </c>
      <c r="G732" s="7"/>
    </row>
    <row r="733" spans="1:7" ht="15" customHeight="1">
      <c r="A733" s="7" t="str">
        <f>"赵莹"</f>
        <v>赵莹</v>
      </c>
      <c r="B733" s="7">
        <v>20192716</v>
      </c>
      <c r="C733" s="7" t="s">
        <v>7</v>
      </c>
      <c r="D733" s="7">
        <v>63.5</v>
      </c>
      <c r="E733" s="6">
        <v>63.5</v>
      </c>
      <c r="F733" s="5">
        <f t="shared" si="15"/>
        <v>33</v>
      </c>
      <c r="G733" s="7"/>
    </row>
    <row r="734" spans="1:7" ht="15" customHeight="1">
      <c r="A734" s="7" t="str">
        <f>"李展"</f>
        <v>李展</v>
      </c>
      <c r="B734" s="7">
        <v>20192719</v>
      </c>
      <c r="C734" s="7" t="s">
        <v>7</v>
      </c>
      <c r="D734" s="7">
        <v>63</v>
      </c>
      <c r="E734" s="6">
        <v>63</v>
      </c>
      <c r="F734" s="5">
        <f t="shared" si="15"/>
        <v>38</v>
      </c>
      <c r="G734" s="7"/>
    </row>
    <row r="735" spans="1:7" ht="15" customHeight="1">
      <c r="A735" s="7" t="str">
        <f>"张宁"</f>
        <v>张宁</v>
      </c>
      <c r="B735" s="7">
        <v>20192518</v>
      </c>
      <c r="C735" s="7" t="s">
        <v>7</v>
      </c>
      <c r="D735" s="7">
        <v>62.5</v>
      </c>
      <c r="E735" s="6">
        <v>62.5</v>
      </c>
      <c r="F735" s="5">
        <f t="shared" si="15"/>
        <v>39</v>
      </c>
      <c r="G735" s="7"/>
    </row>
    <row r="736" spans="1:7" ht="15" customHeight="1">
      <c r="A736" s="7" t="str">
        <f>"孙秀秀"</f>
        <v>孙秀秀</v>
      </c>
      <c r="B736" s="7">
        <v>20192703</v>
      </c>
      <c r="C736" s="7" t="s">
        <v>7</v>
      </c>
      <c r="D736" s="7">
        <v>62.5</v>
      </c>
      <c r="E736" s="6">
        <v>62.5</v>
      </c>
      <c r="F736" s="5">
        <f t="shared" si="15"/>
        <v>39</v>
      </c>
      <c r="G736" s="7"/>
    </row>
    <row r="737" spans="1:7" ht="15" customHeight="1">
      <c r="A737" s="7" t="str">
        <f>"郑晓翠"</f>
        <v>郑晓翠</v>
      </c>
      <c r="B737" s="7">
        <v>20192707</v>
      </c>
      <c r="C737" s="7" t="s">
        <v>7</v>
      </c>
      <c r="D737" s="7">
        <v>62.5</v>
      </c>
      <c r="E737" s="6">
        <v>62.5</v>
      </c>
      <c r="F737" s="5">
        <f t="shared" si="15"/>
        <v>39</v>
      </c>
      <c r="G737" s="7"/>
    </row>
    <row r="738" spans="1:7" ht="15" customHeight="1">
      <c r="A738" s="7" t="str">
        <f>"孙婷婷"</f>
        <v>孙婷婷</v>
      </c>
      <c r="B738" s="7">
        <v>20192717</v>
      </c>
      <c r="C738" s="7" t="s">
        <v>7</v>
      </c>
      <c r="D738" s="7">
        <v>62.5</v>
      </c>
      <c r="E738" s="6">
        <v>62.5</v>
      </c>
      <c r="F738" s="5">
        <f t="shared" si="15"/>
        <v>39</v>
      </c>
      <c r="G738" s="7"/>
    </row>
    <row r="739" spans="1:7" ht="15" customHeight="1">
      <c r="A739" s="7" t="str">
        <f>"王梦悦"</f>
        <v>王梦悦</v>
      </c>
      <c r="B739" s="7">
        <v>20192712</v>
      </c>
      <c r="C739" s="7" t="s">
        <v>7</v>
      </c>
      <c r="D739" s="7">
        <v>62</v>
      </c>
      <c r="E739" s="6">
        <v>62</v>
      </c>
      <c r="F739" s="5">
        <f t="shared" si="15"/>
        <v>43</v>
      </c>
      <c r="G739" s="7"/>
    </row>
    <row r="740" spans="1:7" ht="15" customHeight="1">
      <c r="A740" s="7" t="str">
        <f>"李晨旭"</f>
        <v>李晨旭</v>
      </c>
      <c r="B740" s="7">
        <v>20192713</v>
      </c>
      <c r="C740" s="7" t="s">
        <v>7</v>
      </c>
      <c r="D740" s="7">
        <v>62</v>
      </c>
      <c r="E740" s="6">
        <v>62</v>
      </c>
      <c r="F740" s="5">
        <f t="shared" si="15"/>
        <v>43</v>
      </c>
      <c r="G740" s="7"/>
    </row>
    <row r="741" spans="1:7" ht="15" customHeight="1">
      <c r="A741" s="7" t="str">
        <f>"李嫚"</f>
        <v>李嫚</v>
      </c>
      <c r="B741" s="7">
        <v>20192808</v>
      </c>
      <c r="C741" s="7" t="s">
        <v>7</v>
      </c>
      <c r="D741" s="7">
        <v>62</v>
      </c>
      <c r="E741" s="6">
        <v>62</v>
      </c>
      <c r="F741" s="5">
        <f t="shared" si="15"/>
        <v>43</v>
      </c>
      <c r="G741" s="7"/>
    </row>
    <row r="742" spans="1:7" ht="15" customHeight="1">
      <c r="A742" s="7" t="str">
        <f>"陈瑞"</f>
        <v>陈瑞</v>
      </c>
      <c r="B742" s="7">
        <v>20192819</v>
      </c>
      <c r="C742" s="7" t="s">
        <v>7</v>
      </c>
      <c r="D742" s="7">
        <v>62</v>
      </c>
      <c r="E742" s="6">
        <v>62</v>
      </c>
      <c r="F742" s="5">
        <f t="shared" si="15"/>
        <v>43</v>
      </c>
      <c r="G742" s="7"/>
    </row>
    <row r="743" spans="1:7" ht="15" customHeight="1">
      <c r="A743" s="7" t="str">
        <f>"杨俊哲"</f>
        <v>杨俊哲</v>
      </c>
      <c r="B743" s="7">
        <v>20192823</v>
      </c>
      <c r="C743" s="7" t="s">
        <v>7</v>
      </c>
      <c r="D743" s="7">
        <v>62</v>
      </c>
      <c r="E743" s="6">
        <v>62</v>
      </c>
      <c r="F743" s="5">
        <f t="shared" si="15"/>
        <v>43</v>
      </c>
      <c r="G743" s="7"/>
    </row>
    <row r="744" spans="1:7" ht="15" customHeight="1">
      <c r="A744" s="7" t="str">
        <f>"井慧慧"</f>
        <v>井慧慧</v>
      </c>
      <c r="B744" s="7">
        <v>20192613</v>
      </c>
      <c r="C744" s="7" t="s">
        <v>7</v>
      </c>
      <c r="D744" s="7">
        <v>61.5</v>
      </c>
      <c r="E744" s="6">
        <v>61.5</v>
      </c>
      <c r="F744" s="5">
        <f t="shared" si="15"/>
        <v>48</v>
      </c>
      <c r="G744" s="7"/>
    </row>
    <row r="745" spans="1:7" ht="15" customHeight="1">
      <c r="A745" s="7" t="str">
        <f>"芦妍"</f>
        <v>芦妍</v>
      </c>
      <c r="B745" s="7">
        <v>20192624</v>
      </c>
      <c r="C745" s="7" t="s">
        <v>7</v>
      </c>
      <c r="D745" s="7">
        <v>60.5</v>
      </c>
      <c r="E745" s="6">
        <v>60.5</v>
      </c>
      <c r="F745" s="5">
        <f t="shared" si="15"/>
        <v>49</v>
      </c>
      <c r="G745" s="7"/>
    </row>
    <row r="746" spans="1:7" ht="15" customHeight="1">
      <c r="A746" s="7" t="str">
        <f>"周晓鑫"</f>
        <v>周晓鑫</v>
      </c>
      <c r="B746" s="7">
        <v>20192802</v>
      </c>
      <c r="C746" s="7" t="s">
        <v>7</v>
      </c>
      <c r="D746" s="7">
        <v>60.5</v>
      </c>
      <c r="E746" s="6">
        <v>60.5</v>
      </c>
      <c r="F746" s="5">
        <f t="shared" si="15"/>
        <v>49</v>
      </c>
      <c r="G746" s="7"/>
    </row>
    <row r="747" spans="1:7" ht="15" customHeight="1">
      <c r="A747" s="7" t="str">
        <f>"史歌"</f>
        <v>史歌</v>
      </c>
      <c r="B747" s="7">
        <v>20192827</v>
      </c>
      <c r="C747" s="7" t="s">
        <v>7</v>
      </c>
      <c r="D747" s="7">
        <v>60.5</v>
      </c>
      <c r="E747" s="6">
        <v>60.5</v>
      </c>
      <c r="F747" s="5">
        <f t="shared" si="15"/>
        <v>49</v>
      </c>
      <c r="G747" s="7"/>
    </row>
    <row r="748" spans="1:7" ht="15" customHeight="1">
      <c r="A748" s="7" t="str">
        <f>"赵丹"</f>
        <v>赵丹</v>
      </c>
      <c r="B748" s="7">
        <v>20192627</v>
      </c>
      <c r="C748" s="7" t="s">
        <v>7</v>
      </c>
      <c r="D748" s="7">
        <v>60</v>
      </c>
      <c r="E748" s="6">
        <v>60</v>
      </c>
      <c r="F748" s="5">
        <f t="shared" si="15"/>
        <v>52</v>
      </c>
      <c r="G748" s="7"/>
    </row>
    <row r="749" spans="1:7" ht="15" customHeight="1">
      <c r="A749" s="7" t="str">
        <f>"陈思品"</f>
        <v>陈思品</v>
      </c>
      <c r="B749" s="7">
        <v>20192628</v>
      </c>
      <c r="C749" s="7" t="s">
        <v>7</v>
      </c>
      <c r="D749" s="7">
        <v>60</v>
      </c>
      <c r="E749" s="6">
        <v>60</v>
      </c>
      <c r="F749" s="5">
        <f t="shared" si="15"/>
        <v>52</v>
      </c>
      <c r="G749" s="7"/>
    </row>
    <row r="750" spans="1:7" ht="15" customHeight="1">
      <c r="A750" s="7" t="str">
        <f>"季静洁"</f>
        <v>季静洁</v>
      </c>
      <c r="B750" s="7">
        <v>20192714</v>
      </c>
      <c r="C750" s="7" t="s">
        <v>7</v>
      </c>
      <c r="D750" s="7">
        <v>60</v>
      </c>
      <c r="E750" s="6">
        <v>60</v>
      </c>
      <c r="F750" s="5">
        <f t="shared" si="15"/>
        <v>52</v>
      </c>
      <c r="G750" s="7"/>
    </row>
    <row r="751" spans="1:7" ht="15" customHeight="1">
      <c r="A751" s="7" t="str">
        <f>"黄亚迪"</f>
        <v>黄亚迪</v>
      </c>
      <c r="B751" s="7">
        <v>20192814</v>
      </c>
      <c r="C751" s="7" t="s">
        <v>7</v>
      </c>
      <c r="D751" s="7">
        <v>60</v>
      </c>
      <c r="E751" s="6">
        <v>60</v>
      </c>
      <c r="F751" s="5">
        <f t="shared" si="15"/>
        <v>52</v>
      </c>
      <c r="G751" s="7"/>
    </row>
    <row r="752" spans="1:7" ht="15" customHeight="1">
      <c r="A752" s="7" t="str">
        <f>"李梦瑶"</f>
        <v>李梦瑶</v>
      </c>
      <c r="B752" s="7">
        <v>20192805</v>
      </c>
      <c r="C752" s="7" t="s">
        <v>7</v>
      </c>
      <c r="D752" s="7">
        <v>59.5</v>
      </c>
      <c r="E752" s="6">
        <v>59.5</v>
      </c>
      <c r="F752" s="5">
        <f t="shared" si="15"/>
        <v>56</v>
      </c>
      <c r="G752" s="7"/>
    </row>
    <row r="753" spans="1:7" ht="15" customHeight="1">
      <c r="A753" s="7" t="str">
        <f>"韩智勤"</f>
        <v>韩智勤</v>
      </c>
      <c r="B753" s="7">
        <v>20192826</v>
      </c>
      <c r="C753" s="7" t="s">
        <v>7</v>
      </c>
      <c r="D753" s="7">
        <v>59.5</v>
      </c>
      <c r="E753" s="6">
        <v>59.5</v>
      </c>
      <c r="F753" s="5">
        <f t="shared" si="15"/>
        <v>56</v>
      </c>
      <c r="G753" s="7"/>
    </row>
    <row r="754" spans="1:7" ht="15" customHeight="1">
      <c r="A754" s="7" t="str">
        <f>"匡雯"</f>
        <v>匡雯</v>
      </c>
      <c r="B754" s="7">
        <v>20192513</v>
      </c>
      <c r="C754" s="7" t="s">
        <v>7</v>
      </c>
      <c r="D754" s="7">
        <v>59</v>
      </c>
      <c r="E754" s="6">
        <v>59</v>
      </c>
      <c r="F754" s="5">
        <f t="shared" si="15"/>
        <v>58</v>
      </c>
      <c r="G754" s="7"/>
    </row>
    <row r="755" spans="1:7" ht="15" customHeight="1">
      <c r="A755" s="7" t="str">
        <f>"王爽"</f>
        <v>王爽</v>
      </c>
      <c r="B755" s="7">
        <v>20192520</v>
      </c>
      <c r="C755" s="7" t="s">
        <v>7</v>
      </c>
      <c r="D755" s="7">
        <v>59</v>
      </c>
      <c r="E755" s="6">
        <v>59</v>
      </c>
      <c r="F755" s="5">
        <f t="shared" si="15"/>
        <v>58</v>
      </c>
      <c r="G755" s="7"/>
    </row>
    <row r="756" spans="1:7" ht="15" customHeight="1">
      <c r="A756" s="7" t="str">
        <f>"朱晓静"</f>
        <v>朱晓静</v>
      </c>
      <c r="B756" s="7">
        <v>20192622</v>
      </c>
      <c r="C756" s="7" t="s">
        <v>7</v>
      </c>
      <c r="D756" s="7">
        <v>59</v>
      </c>
      <c r="E756" s="6">
        <v>59</v>
      </c>
      <c r="F756" s="5">
        <f t="shared" si="15"/>
        <v>58</v>
      </c>
      <c r="G756" s="7"/>
    </row>
    <row r="757" spans="1:7" ht="15" customHeight="1">
      <c r="A757" s="7" t="str">
        <f>"刘凡"</f>
        <v>刘凡</v>
      </c>
      <c r="B757" s="7">
        <v>20192526</v>
      </c>
      <c r="C757" s="7" t="s">
        <v>7</v>
      </c>
      <c r="D757" s="7">
        <v>58.5</v>
      </c>
      <c r="E757" s="6">
        <v>58.5</v>
      </c>
      <c r="F757" s="5">
        <f t="shared" si="15"/>
        <v>61</v>
      </c>
      <c r="G757" s="7"/>
    </row>
    <row r="758" spans="1:7" ht="15" customHeight="1">
      <c r="A758" s="7" t="str">
        <f>"岳珊"</f>
        <v>岳珊</v>
      </c>
      <c r="B758" s="7">
        <v>20192608</v>
      </c>
      <c r="C758" s="7" t="s">
        <v>7</v>
      </c>
      <c r="D758" s="7">
        <v>58.5</v>
      </c>
      <c r="E758" s="6">
        <v>58.5</v>
      </c>
      <c r="F758" s="5">
        <f t="shared" si="15"/>
        <v>61</v>
      </c>
      <c r="G758" s="7"/>
    </row>
    <row r="759" spans="1:7" ht="15" customHeight="1">
      <c r="A759" s="7" t="str">
        <f>"李涵"</f>
        <v>李涵</v>
      </c>
      <c r="B759" s="7">
        <v>20192620</v>
      </c>
      <c r="C759" s="7" t="s">
        <v>7</v>
      </c>
      <c r="D759" s="7">
        <v>58.5</v>
      </c>
      <c r="E759" s="6">
        <v>58.5</v>
      </c>
      <c r="F759" s="5">
        <f t="shared" si="15"/>
        <v>61</v>
      </c>
      <c r="G759" s="7"/>
    </row>
    <row r="760" spans="1:7" ht="15" customHeight="1">
      <c r="A760" s="7" t="str">
        <f>"刘瑾"</f>
        <v>刘瑾</v>
      </c>
      <c r="B760" s="7">
        <v>20192718</v>
      </c>
      <c r="C760" s="7" t="s">
        <v>7</v>
      </c>
      <c r="D760" s="7">
        <v>58.5</v>
      </c>
      <c r="E760" s="6">
        <v>58.5</v>
      </c>
      <c r="F760" s="5">
        <f t="shared" si="15"/>
        <v>61</v>
      </c>
      <c r="G760" s="7"/>
    </row>
    <row r="761" spans="1:7" ht="15" customHeight="1">
      <c r="A761" s="7" t="str">
        <f>"周雅"</f>
        <v>周雅</v>
      </c>
      <c r="B761" s="7">
        <v>20192721</v>
      </c>
      <c r="C761" s="7" t="s">
        <v>7</v>
      </c>
      <c r="D761" s="7">
        <v>58.5</v>
      </c>
      <c r="E761" s="6">
        <v>58.5</v>
      </c>
      <c r="F761" s="5">
        <f t="shared" ref="F761:F792" si="16">_xlfn.RANK.EQ(E761,$E$697:$E$817)</f>
        <v>61</v>
      </c>
      <c r="G761" s="7"/>
    </row>
    <row r="762" spans="1:7" ht="15" customHeight="1">
      <c r="A762" s="7" t="str">
        <f>"翟彤"</f>
        <v>翟彤</v>
      </c>
      <c r="B762" s="7">
        <v>20192722</v>
      </c>
      <c r="C762" s="7" t="s">
        <v>7</v>
      </c>
      <c r="D762" s="7">
        <v>58.5</v>
      </c>
      <c r="E762" s="6">
        <v>58.5</v>
      </c>
      <c r="F762" s="5">
        <f t="shared" si="16"/>
        <v>61</v>
      </c>
      <c r="G762" s="7"/>
    </row>
    <row r="763" spans="1:7" ht="15" customHeight="1">
      <c r="A763" s="7" t="str">
        <f>"杜少婷"</f>
        <v>杜少婷</v>
      </c>
      <c r="B763" s="7">
        <v>20192610</v>
      </c>
      <c r="C763" s="7" t="s">
        <v>7</v>
      </c>
      <c r="D763" s="7">
        <v>58</v>
      </c>
      <c r="E763" s="6">
        <v>58</v>
      </c>
      <c r="F763" s="5">
        <f t="shared" si="16"/>
        <v>67</v>
      </c>
      <c r="G763" s="7"/>
    </row>
    <row r="764" spans="1:7" ht="15" customHeight="1">
      <c r="A764" s="7" t="str">
        <f>"张婷婷"</f>
        <v>张婷婷</v>
      </c>
      <c r="B764" s="7">
        <v>20192820</v>
      </c>
      <c r="C764" s="7" t="s">
        <v>7</v>
      </c>
      <c r="D764" s="7">
        <v>58</v>
      </c>
      <c r="E764" s="6">
        <v>58</v>
      </c>
      <c r="F764" s="5">
        <f t="shared" si="16"/>
        <v>67</v>
      </c>
      <c r="G764" s="7"/>
    </row>
    <row r="765" spans="1:7" ht="15" customHeight="1">
      <c r="A765" s="7" t="str">
        <f>"刘冰"</f>
        <v>刘冰</v>
      </c>
      <c r="B765" s="7">
        <v>20192509</v>
      </c>
      <c r="C765" s="7" t="s">
        <v>7</v>
      </c>
      <c r="D765" s="7">
        <v>57.5</v>
      </c>
      <c r="E765" s="6">
        <v>57.5</v>
      </c>
      <c r="F765" s="5">
        <f t="shared" si="16"/>
        <v>69</v>
      </c>
      <c r="G765" s="7"/>
    </row>
    <row r="766" spans="1:7" ht="15" customHeight="1">
      <c r="A766" s="7" t="str">
        <f>"樊何芳"</f>
        <v>樊何芳</v>
      </c>
      <c r="B766" s="7">
        <v>20192521</v>
      </c>
      <c r="C766" s="7" t="s">
        <v>7</v>
      </c>
      <c r="D766" s="7">
        <v>57.5</v>
      </c>
      <c r="E766" s="6">
        <v>57.5</v>
      </c>
      <c r="F766" s="5">
        <f t="shared" si="16"/>
        <v>69</v>
      </c>
      <c r="G766" s="7"/>
    </row>
    <row r="767" spans="1:7" ht="15" customHeight="1">
      <c r="A767" s="7" t="str">
        <f>"周念"</f>
        <v>周念</v>
      </c>
      <c r="B767" s="7">
        <v>20192528</v>
      </c>
      <c r="C767" s="7" t="s">
        <v>7</v>
      </c>
      <c r="D767" s="7">
        <v>57.5</v>
      </c>
      <c r="E767" s="6">
        <v>57.5</v>
      </c>
      <c r="F767" s="5">
        <f t="shared" si="16"/>
        <v>69</v>
      </c>
      <c r="G767" s="7"/>
    </row>
    <row r="768" spans="1:7" ht="15" customHeight="1">
      <c r="A768" s="7" t="str">
        <f>"白丹"</f>
        <v>白丹</v>
      </c>
      <c r="B768" s="7">
        <v>20192601</v>
      </c>
      <c r="C768" s="7" t="s">
        <v>7</v>
      </c>
      <c r="D768" s="7">
        <v>57.5</v>
      </c>
      <c r="E768" s="6">
        <v>57.5</v>
      </c>
      <c r="F768" s="5">
        <f t="shared" si="16"/>
        <v>69</v>
      </c>
      <c r="G768" s="7"/>
    </row>
    <row r="769" spans="1:7" ht="15" customHeight="1">
      <c r="A769" s="7" t="str">
        <f>"王晨"</f>
        <v>王晨</v>
      </c>
      <c r="B769" s="7">
        <v>20192606</v>
      </c>
      <c r="C769" s="7" t="s">
        <v>7</v>
      </c>
      <c r="D769" s="7">
        <v>57.5</v>
      </c>
      <c r="E769" s="6">
        <v>57.5</v>
      </c>
      <c r="F769" s="5">
        <f t="shared" si="16"/>
        <v>69</v>
      </c>
      <c r="G769" s="7"/>
    </row>
    <row r="770" spans="1:7" ht="15" customHeight="1">
      <c r="A770" s="7" t="str">
        <f>"吕孟遥"</f>
        <v>吕孟遥</v>
      </c>
      <c r="B770" s="7">
        <v>20192614</v>
      </c>
      <c r="C770" s="7" t="s">
        <v>7</v>
      </c>
      <c r="D770" s="7">
        <v>57.5</v>
      </c>
      <c r="E770" s="6">
        <v>57.5</v>
      </c>
      <c r="F770" s="5">
        <f t="shared" si="16"/>
        <v>69</v>
      </c>
      <c r="G770" s="7"/>
    </row>
    <row r="771" spans="1:7" ht="15" customHeight="1">
      <c r="A771" s="7" t="str">
        <f>"杜梦晗"</f>
        <v>杜梦晗</v>
      </c>
      <c r="B771" s="7">
        <v>20192710</v>
      </c>
      <c r="C771" s="7" t="s">
        <v>7</v>
      </c>
      <c r="D771" s="7">
        <v>57.5</v>
      </c>
      <c r="E771" s="6">
        <v>57.5</v>
      </c>
      <c r="F771" s="5">
        <f t="shared" si="16"/>
        <v>69</v>
      </c>
      <c r="G771" s="7"/>
    </row>
    <row r="772" spans="1:7" ht="15" customHeight="1">
      <c r="A772" s="7" t="str">
        <f>"宋茵茵"</f>
        <v>宋茵茵</v>
      </c>
      <c r="B772" s="7">
        <v>20192730</v>
      </c>
      <c r="C772" s="7" t="s">
        <v>7</v>
      </c>
      <c r="D772" s="7">
        <v>57.5</v>
      </c>
      <c r="E772" s="6">
        <v>57.5</v>
      </c>
      <c r="F772" s="5">
        <f t="shared" si="16"/>
        <v>69</v>
      </c>
      <c r="G772" s="7"/>
    </row>
    <row r="773" spans="1:7" ht="15" customHeight="1">
      <c r="A773" s="7" t="str">
        <f>"赵振科"</f>
        <v>赵振科</v>
      </c>
      <c r="B773" s="7">
        <v>20192813</v>
      </c>
      <c r="C773" s="7" t="s">
        <v>7</v>
      </c>
      <c r="D773" s="7">
        <v>57.5</v>
      </c>
      <c r="E773" s="6">
        <v>57.5</v>
      </c>
      <c r="F773" s="5">
        <f t="shared" si="16"/>
        <v>69</v>
      </c>
      <c r="G773" s="7"/>
    </row>
    <row r="774" spans="1:7" ht="15" customHeight="1">
      <c r="A774" s="7" t="str">
        <f>"宋静"</f>
        <v>宋静</v>
      </c>
      <c r="B774" s="7">
        <v>20192501</v>
      </c>
      <c r="C774" s="7" t="s">
        <v>7</v>
      </c>
      <c r="D774" s="7">
        <v>57</v>
      </c>
      <c r="E774" s="6">
        <v>57</v>
      </c>
      <c r="F774" s="5">
        <f t="shared" si="16"/>
        <v>78</v>
      </c>
      <c r="G774" s="7"/>
    </row>
    <row r="775" spans="1:7" ht="15" customHeight="1">
      <c r="A775" s="7" t="str">
        <f>"郭倩"</f>
        <v>郭倩</v>
      </c>
      <c r="B775" s="7">
        <v>20192511</v>
      </c>
      <c r="C775" s="7" t="s">
        <v>7</v>
      </c>
      <c r="D775" s="7">
        <v>57</v>
      </c>
      <c r="E775" s="6">
        <v>57</v>
      </c>
      <c r="F775" s="5">
        <f t="shared" si="16"/>
        <v>78</v>
      </c>
      <c r="G775" s="7"/>
    </row>
    <row r="776" spans="1:7" ht="15" customHeight="1">
      <c r="A776" s="7" t="str">
        <f>"马迪"</f>
        <v>马迪</v>
      </c>
      <c r="B776" s="7">
        <v>20192514</v>
      </c>
      <c r="C776" s="7" t="s">
        <v>7</v>
      </c>
      <c r="D776" s="7">
        <v>57</v>
      </c>
      <c r="E776" s="6">
        <v>57</v>
      </c>
      <c r="F776" s="5">
        <f t="shared" si="16"/>
        <v>78</v>
      </c>
      <c r="G776" s="7"/>
    </row>
    <row r="777" spans="1:7" ht="15" customHeight="1">
      <c r="A777" s="7" t="str">
        <f>"张晓洒"</f>
        <v>张晓洒</v>
      </c>
      <c r="B777" s="7">
        <v>20192525</v>
      </c>
      <c r="C777" s="7" t="s">
        <v>7</v>
      </c>
      <c r="D777" s="7">
        <v>57</v>
      </c>
      <c r="E777" s="6">
        <v>57</v>
      </c>
      <c r="F777" s="5">
        <f t="shared" si="16"/>
        <v>78</v>
      </c>
      <c r="G777" s="7"/>
    </row>
    <row r="778" spans="1:7" ht="15" customHeight="1">
      <c r="A778" s="7" t="str">
        <f>"江雪"</f>
        <v>江雪</v>
      </c>
      <c r="B778" s="7">
        <v>20192810</v>
      </c>
      <c r="C778" s="7" t="s">
        <v>7</v>
      </c>
      <c r="D778" s="7">
        <v>56.5</v>
      </c>
      <c r="E778" s="6">
        <v>56.5</v>
      </c>
      <c r="F778" s="5">
        <f t="shared" si="16"/>
        <v>82</v>
      </c>
      <c r="G778" s="7"/>
    </row>
    <row r="779" spans="1:7" ht="15" customHeight="1">
      <c r="A779" s="7" t="str">
        <f>"张慧妍"</f>
        <v>张慧妍</v>
      </c>
      <c r="B779" s="7">
        <v>20192809</v>
      </c>
      <c r="C779" s="7" t="s">
        <v>7</v>
      </c>
      <c r="D779" s="7">
        <v>56</v>
      </c>
      <c r="E779" s="6">
        <v>56</v>
      </c>
      <c r="F779" s="5">
        <f t="shared" si="16"/>
        <v>83</v>
      </c>
      <c r="G779" s="7"/>
    </row>
    <row r="780" spans="1:7" ht="15" customHeight="1">
      <c r="A780" s="7" t="str">
        <f>"尹炳潇"</f>
        <v>尹炳潇</v>
      </c>
      <c r="B780" s="7">
        <v>20192611</v>
      </c>
      <c r="C780" s="7" t="s">
        <v>7</v>
      </c>
      <c r="D780" s="7">
        <v>55.5</v>
      </c>
      <c r="E780" s="6">
        <v>55.5</v>
      </c>
      <c r="F780" s="5">
        <f t="shared" si="16"/>
        <v>84</v>
      </c>
      <c r="G780" s="7"/>
    </row>
    <row r="781" spans="1:7" ht="15" customHeight="1">
      <c r="A781" s="7" t="str">
        <f>"史茜"</f>
        <v>史茜</v>
      </c>
      <c r="B781" s="7">
        <v>20192615</v>
      </c>
      <c r="C781" s="7" t="s">
        <v>7</v>
      </c>
      <c r="D781" s="7">
        <v>55.5</v>
      </c>
      <c r="E781" s="6">
        <v>55.5</v>
      </c>
      <c r="F781" s="5">
        <f t="shared" si="16"/>
        <v>84</v>
      </c>
      <c r="G781" s="7"/>
    </row>
    <row r="782" spans="1:7" ht="15" customHeight="1">
      <c r="A782" s="7" t="str">
        <f>"张宁"</f>
        <v>张宁</v>
      </c>
      <c r="B782" s="7">
        <v>20192618</v>
      </c>
      <c r="C782" s="7" t="s">
        <v>7</v>
      </c>
      <c r="D782" s="7">
        <v>55.5</v>
      </c>
      <c r="E782" s="6">
        <v>55.5</v>
      </c>
      <c r="F782" s="5">
        <f t="shared" si="16"/>
        <v>84</v>
      </c>
      <c r="G782" s="7"/>
    </row>
    <row r="783" spans="1:7" ht="15" customHeight="1">
      <c r="A783" s="7" t="str">
        <f>"樊琳"</f>
        <v>樊琳</v>
      </c>
      <c r="B783" s="7">
        <v>20192626</v>
      </c>
      <c r="C783" s="7" t="s">
        <v>7</v>
      </c>
      <c r="D783" s="7">
        <v>55.5</v>
      </c>
      <c r="E783" s="6">
        <v>55.5</v>
      </c>
      <c r="F783" s="5">
        <f t="shared" si="16"/>
        <v>84</v>
      </c>
      <c r="G783" s="7"/>
    </row>
    <row r="784" spans="1:7" ht="15" customHeight="1">
      <c r="A784" s="7" t="str">
        <f>"白迪"</f>
        <v>白迪</v>
      </c>
      <c r="B784" s="7">
        <v>20192729</v>
      </c>
      <c r="C784" s="7" t="s">
        <v>7</v>
      </c>
      <c r="D784" s="7">
        <v>55.5</v>
      </c>
      <c r="E784" s="6">
        <v>55.5</v>
      </c>
      <c r="F784" s="5">
        <f t="shared" si="16"/>
        <v>84</v>
      </c>
      <c r="G784" s="7"/>
    </row>
    <row r="785" spans="1:7" ht="15" customHeight="1">
      <c r="A785" s="7" t="str">
        <f>"冀迎迎"</f>
        <v>冀迎迎</v>
      </c>
      <c r="B785" s="7">
        <v>20192727</v>
      </c>
      <c r="C785" s="7" t="s">
        <v>7</v>
      </c>
      <c r="D785" s="7">
        <v>55</v>
      </c>
      <c r="E785" s="6">
        <v>55</v>
      </c>
      <c r="F785" s="5">
        <f t="shared" si="16"/>
        <v>89</v>
      </c>
      <c r="G785" s="7"/>
    </row>
    <row r="786" spans="1:7" ht="15" customHeight="1">
      <c r="A786" s="7" t="str">
        <f>"刘丽"</f>
        <v>刘丽</v>
      </c>
      <c r="B786" s="7">
        <v>20192824</v>
      </c>
      <c r="C786" s="7" t="s">
        <v>7</v>
      </c>
      <c r="D786" s="7">
        <v>55</v>
      </c>
      <c r="E786" s="6">
        <v>55</v>
      </c>
      <c r="F786" s="5">
        <f t="shared" si="16"/>
        <v>89</v>
      </c>
      <c r="G786" s="7"/>
    </row>
    <row r="787" spans="1:7" ht="15" customHeight="1">
      <c r="A787" s="7" t="str">
        <f>"苏梦君"</f>
        <v>苏梦君</v>
      </c>
      <c r="B787" s="7">
        <v>20192828</v>
      </c>
      <c r="C787" s="7" t="s">
        <v>7</v>
      </c>
      <c r="D787" s="7">
        <v>55</v>
      </c>
      <c r="E787" s="6">
        <v>55</v>
      </c>
      <c r="F787" s="5">
        <f t="shared" si="16"/>
        <v>89</v>
      </c>
      <c r="G787" s="7"/>
    </row>
    <row r="788" spans="1:7" ht="15" customHeight="1">
      <c r="A788" s="7" t="str">
        <f>"吕庚霞"</f>
        <v>吕庚霞</v>
      </c>
      <c r="B788" s="7">
        <v>20192504</v>
      </c>
      <c r="C788" s="7" t="s">
        <v>7</v>
      </c>
      <c r="D788" s="7">
        <v>54</v>
      </c>
      <c r="E788" s="6">
        <v>54</v>
      </c>
      <c r="F788" s="5">
        <f t="shared" si="16"/>
        <v>92</v>
      </c>
      <c r="G788" s="7"/>
    </row>
    <row r="789" spans="1:7" ht="15" customHeight="1">
      <c r="A789" s="7" t="str">
        <f>"赵丽丽"</f>
        <v>赵丽丽</v>
      </c>
      <c r="B789" s="7">
        <v>20192612</v>
      </c>
      <c r="C789" s="7" t="s">
        <v>7</v>
      </c>
      <c r="D789" s="7">
        <v>54</v>
      </c>
      <c r="E789" s="6">
        <v>54</v>
      </c>
      <c r="F789" s="5">
        <f t="shared" si="16"/>
        <v>92</v>
      </c>
      <c r="G789" s="7"/>
    </row>
    <row r="790" spans="1:7" ht="15" customHeight="1">
      <c r="A790" s="7" t="str">
        <f>"陶玉品"</f>
        <v>陶玉品</v>
      </c>
      <c r="B790" s="7">
        <v>20192723</v>
      </c>
      <c r="C790" s="7" t="s">
        <v>7</v>
      </c>
      <c r="D790" s="7">
        <v>54</v>
      </c>
      <c r="E790" s="6">
        <v>54</v>
      </c>
      <c r="F790" s="5">
        <f t="shared" si="16"/>
        <v>92</v>
      </c>
      <c r="G790" s="7"/>
    </row>
    <row r="791" spans="1:7" ht="15" customHeight="1">
      <c r="A791" s="7" t="str">
        <f>"张冰"</f>
        <v>张冰</v>
      </c>
      <c r="B791" s="7">
        <v>20192523</v>
      </c>
      <c r="C791" s="7" t="s">
        <v>7</v>
      </c>
      <c r="D791" s="7">
        <v>53.5</v>
      </c>
      <c r="E791" s="6">
        <v>53.5</v>
      </c>
      <c r="F791" s="5">
        <f t="shared" si="16"/>
        <v>95</v>
      </c>
      <c r="G791" s="7"/>
    </row>
    <row r="792" spans="1:7" ht="15" customHeight="1">
      <c r="A792" s="7" t="str">
        <f>"刘静"</f>
        <v>刘静</v>
      </c>
      <c r="B792" s="7">
        <v>20192530</v>
      </c>
      <c r="C792" s="7" t="s">
        <v>7</v>
      </c>
      <c r="D792" s="7">
        <v>53.5</v>
      </c>
      <c r="E792" s="6">
        <v>53.5</v>
      </c>
      <c r="F792" s="5">
        <f t="shared" si="16"/>
        <v>95</v>
      </c>
      <c r="G792" s="7"/>
    </row>
    <row r="793" spans="1:7" ht="15" customHeight="1">
      <c r="A793" s="7" t="str">
        <f>"陈传燕"</f>
        <v>陈传燕</v>
      </c>
      <c r="B793" s="7">
        <v>20192604</v>
      </c>
      <c r="C793" s="7" t="s">
        <v>7</v>
      </c>
      <c r="D793" s="7">
        <v>53.5</v>
      </c>
      <c r="E793" s="6">
        <v>53.5</v>
      </c>
      <c r="F793" s="5">
        <f t="shared" ref="F793:F817" si="17">_xlfn.RANK.EQ(E793,$E$697:$E$817)</f>
        <v>95</v>
      </c>
      <c r="G793" s="7"/>
    </row>
    <row r="794" spans="1:7" ht="15" customHeight="1">
      <c r="A794" s="7" t="str">
        <f>"何晓晗"</f>
        <v>何晓晗</v>
      </c>
      <c r="B794" s="7">
        <v>20192708</v>
      </c>
      <c r="C794" s="7" t="s">
        <v>7</v>
      </c>
      <c r="D794" s="7">
        <v>53</v>
      </c>
      <c r="E794" s="6">
        <v>53</v>
      </c>
      <c r="F794" s="5">
        <f t="shared" si="17"/>
        <v>98</v>
      </c>
      <c r="G794" s="7"/>
    </row>
    <row r="795" spans="1:7" ht="15" customHeight="1">
      <c r="A795" s="7" t="str">
        <f>"李茹玥"</f>
        <v>李茹玥</v>
      </c>
      <c r="B795" s="7">
        <v>20192825</v>
      </c>
      <c r="C795" s="7" t="s">
        <v>7</v>
      </c>
      <c r="D795" s="7">
        <v>53</v>
      </c>
      <c r="E795" s="6">
        <v>53</v>
      </c>
      <c r="F795" s="5">
        <f t="shared" si="17"/>
        <v>98</v>
      </c>
      <c r="G795" s="7"/>
    </row>
    <row r="796" spans="1:7" ht="15" customHeight="1">
      <c r="A796" s="7" t="str">
        <f>"闫婕"</f>
        <v>闫婕</v>
      </c>
      <c r="B796" s="7">
        <v>20192625</v>
      </c>
      <c r="C796" s="7" t="s">
        <v>7</v>
      </c>
      <c r="D796" s="7">
        <v>52.5</v>
      </c>
      <c r="E796" s="6">
        <v>52.5</v>
      </c>
      <c r="F796" s="5">
        <f t="shared" si="17"/>
        <v>100</v>
      </c>
      <c r="G796" s="7"/>
    </row>
    <row r="797" spans="1:7" ht="15" customHeight="1">
      <c r="A797" s="7" t="str">
        <f>"熊盼盼"</f>
        <v>熊盼盼</v>
      </c>
      <c r="B797" s="7">
        <v>20192617</v>
      </c>
      <c r="C797" s="7" t="s">
        <v>7</v>
      </c>
      <c r="D797" s="7">
        <v>52</v>
      </c>
      <c r="E797" s="6">
        <v>52</v>
      </c>
      <c r="F797" s="5">
        <f t="shared" si="17"/>
        <v>101</v>
      </c>
      <c r="G797" s="7"/>
    </row>
    <row r="798" spans="1:7" ht="15" customHeight="1">
      <c r="A798" s="7" t="str">
        <f>"陶冉"</f>
        <v>陶冉</v>
      </c>
      <c r="B798" s="7">
        <v>20192506</v>
      </c>
      <c r="C798" s="7" t="s">
        <v>7</v>
      </c>
      <c r="D798" s="7">
        <v>51</v>
      </c>
      <c r="E798" s="6">
        <v>51</v>
      </c>
      <c r="F798" s="5">
        <f t="shared" si="17"/>
        <v>102</v>
      </c>
      <c r="G798" s="7"/>
    </row>
    <row r="799" spans="1:7" ht="15" customHeight="1">
      <c r="A799" s="7" t="str">
        <f>"李展"</f>
        <v>李展</v>
      </c>
      <c r="B799" s="7">
        <v>20192830</v>
      </c>
      <c r="C799" s="7" t="s">
        <v>7</v>
      </c>
      <c r="D799" s="7">
        <v>51</v>
      </c>
      <c r="E799" s="6">
        <v>51</v>
      </c>
      <c r="F799" s="5">
        <f t="shared" si="17"/>
        <v>102</v>
      </c>
      <c r="G799" s="7"/>
    </row>
    <row r="800" spans="1:7" ht="15" customHeight="1">
      <c r="A800" s="7" t="str">
        <f>"李玲"</f>
        <v>李玲</v>
      </c>
      <c r="B800" s="7">
        <v>20192502</v>
      </c>
      <c r="C800" s="7" t="s">
        <v>7</v>
      </c>
      <c r="D800" s="7">
        <v>50.5</v>
      </c>
      <c r="E800" s="6">
        <v>50.5</v>
      </c>
      <c r="F800" s="5">
        <f t="shared" si="17"/>
        <v>104</v>
      </c>
      <c r="G800" s="7"/>
    </row>
    <row r="801" spans="1:7" ht="15" customHeight="1">
      <c r="A801" s="7" t="str">
        <f>"杜佳星"</f>
        <v>杜佳星</v>
      </c>
      <c r="B801" s="7">
        <v>20192811</v>
      </c>
      <c r="C801" s="7" t="s">
        <v>7</v>
      </c>
      <c r="D801" s="7">
        <v>50.5</v>
      </c>
      <c r="E801" s="6">
        <v>50.5</v>
      </c>
      <c r="F801" s="5">
        <f t="shared" si="17"/>
        <v>104</v>
      </c>
      <c r="G801" s="7"/>
    </row>
    <row r="802" spans="1:7" ht="15" customHeight="1">
      <c r="A802" s="7" t="str">
        <f>"归一博"</f>
        <v>归一博</v>
      </c>
      <c r="B802" s="7">
        <v>20192510</v>
      </c>
      <c r="C802" s="7" t="s">
        <v>7</v>
      </c>
      <c r="D802" s="7">
        <v>49</v>
      </c>
      <c r="E802" s="6">
        <v>49</v>
      </c>
      <c r="F802" s="5">
        <f t="shared" si="17"/>
        <v>106</v>
      </c>
      <c r="G802" s="7"/>
    </row>
    <row r="803" spans="1:7" ht="15" customHeight="1">
      <c r="A803" s="7" t="str">
        <f>"张培"</f>
        <v>张培</v>
      </c>
      <c r="B803" s="7">
        <v>20192725</v>
      </c>
      <c r="C803" s="7" t="s">
        <v>7</v>
      </c>
      <c r="D803" s="7">
        <v>49</v>
      </c>
      <c r="E803" s="6">
        <v>49</v>
      </c>
      <c r="F803" s="5">
        <f t="shared" si="17"/>
        <v>106</v>
      </c>
      <c r="G803" s="7"/>
    </row>
    <row r="804" spans="1:7" ht="15" customHeight="1">
      <c r="A804" s="7" t="str">
        <f>"刘爽"</f>
        <v>刘爽</v>
      </c>
      <c r="B804" s="7">
        <v>20192715</v>
      </c>
      <c r="C804" s="7" t="s">
        <v>7</v>
      </c>
      <c r="D804" s="7">
        <v>48.5</v>
      </c>
      <c r="E804" s="6">
        <v>48.5</v>
      </c>
      <c r="F804" s="5">
        <f t="shared" si="17"/>
        <v>108</v>
      </c>
      <c r="G804" s="7"/>
    </row>
    <row r="805" spans="1:7" ht="15" customHeight="1">
      <c r="A805" s="7" t="str">
        <f>"李晓霞"</f>
        <v>李晓霞</v>
      </c>
      <c r="B805" s="7">
        <v>20192817</v>
      </c>
      <c r="C805" s="7" t="s">
        <v>7</v>
      </c>
      <c r="D805" s="7">
        <v>48.5</v>
      </c>
      <c r="E805" s="6">
        <v>48.5</v>
      </c>
      <c r="F805" s="5">
        <f t="shared" si="17"/>
        <v>108</v>
      </c>
      <c r="G805" s="7"/>
    </row>
    <row r="806" spans="1:7" ht="15" customHeight="1">
      <c r="A806" s="7" t="str">
        <f>"王丹妮"</f>
        <v>王丹妮</v>
      </c>
      <c r="B806" s="7">
        <v>20192822</v>
      </c>
      <c r="C806" s="7" t="s">
        <v>7</v>
      </c>
      <c r="D806" s="7">
        <v>48.5</v>
      </c>
      <c r="E806" s="6">
        <v>48.5</v>
      </c>
      <c r="F806" s="5">
        <f t="shared" si="17"/>
        <v>108</v>
      </c>
      <c r="G806" s="7"/>
    </row>
    <row r="807" spans="1:7" ht="15" customHeight="1">
      <c r="A807" s="7" t="str">
        <f>"王晶"</f>
        <v>王晶</v>
      </c>
      <c r="B807" s="7">
        <v>20192806</v>
      </c>
      <c r="C807" s="7" t="s">
        <v>7</v>
      </c>
      <c r="D807" s="7">
        <v>48</v>
      </c>
      <c r="E807" s="6">
        <v>48</v>
      </c>
      <c r="F807" s="5">
        <f t="shared" si="17"/>
        <v>111</v>
      </c>
      <c r="G807" s="7"/>
    </row>
    <row r="808" spans="1:7" ht="15" customHeight="1">
      <c r="A808" s="7" t="str">
        <f>"宋冉"</f>
        <v>宋冉</v>
      </c>
      <c r="B808" s="7">
        <v>20192616</v>
      </c>
      <c r="C808" s="7" t="s">
        <v>7</v>
      </c>
      <c r="D808" s="7">
        <v>47.5</v>
      </c>
      <c r="E808" s="6">
        <v>47.5</v>
      </c>
      <c r="F808" s="5">
        <f t="shared" si="17"/>
        <v>112</v>
      </c>
      <c r="G808" s="7"/>
    </row>
    <row r="809" spans="1:7" ht="15" customHeight="1">
      <c r="A809" s="7" t="str">
        <f>"盖钰俐"</f>
        <v>盖钰俐</v>
      </c>
      <c r="B809" s="7">
        <v>20192821</v>
      </c>
      <c r="C809" s="7" t="s">
        <v>7</v>
      </c>
      <c r="D809" s="7">
        <v>47.5</v>
      </c>
      <c r="E809" s="6">
        <v>47.5</v>
      </c>
      <c r="F809" s="5">
        <f t="shared" si="17"/>
        <v>112</v>
      </c>
      <c r="G809" s="7"/>
    </row>
    <row r="810" spans="1:7" ht="15" customHeight="1">
      <c r="A810" s="7" t="str">
        <f>"冯林莹"</f>
        <v>冯林莹</v>
      </c>
      <c r="B810" s="7">
        <v>20192603</v>
      </c>
      <c r="C810" s="7" t="s">
        <v>7</v>
      </c>
      <c r="D810" s="7">
        <v>47</v>
      </c>
      <c r="E810" s="6">
        <v>47</v>
      </c>
      <c r="F810" s="5">
        <f t="shared" si="17"/>
        <v>114</v>
      </c>
      <c r="G810" s="7"/>
    </row>
    <row r="811" spans="1:7" ht="15" customHeight="1">
      <c r="A811" s="7" t="str">
        <f>"黄露"</f>
        <v>黄露</v>
      </c>
      <c r="B811" s="7">
        <v>20192505</v>
      </c>
      <c r="C811" s="7" t="s">
        <v>7</v>
      </c>
      <c r="D811" s="7">
        <v>46</v>
      </c>
      <c r="E811" s="6">
        <v>46</v>
      </c>
      <c r="F811" s="5">
        <f t="shared" si="17"/>
        <v>115</v>
      </c>
      <c r="G811" s="7"/>
    </row>
    <row r="812" spans="1:7" ht="15" customHeight="1">
      <c r="A812" s="7" t="str">
        <f>"武虹"</f>
        <v>武虹</v>
      </c>
      <c r="B812" s="7">
        <v>20192815</v>
      </c>
      <c r="C812" s="7" t="s">
        <v>7</v>
      </c>
      <c r="D812" s="7">
        <v>46</v>
      </c>
      <c r="E812" s="6">
        <v>46</v>
      </c>
      <c r="F812" s="5">
        <f t="shared" si="17"/>
        <v>115</v>
      </c>
      <c r="G812" s="7"/>
    </row>
    <row r="813" spans="1:7" ht="15" customHeight="1">
      <c r="A813" s="7" t="str">
        <f>"晋佳丽"</f>
        <v>晋佳丽</v>
      </c>
      <c r="B813" s="7">
        <v>20192630</v>
      </c>
      <c r="C813" s="7" t="s">
        <v>7</v>
      </c>
      <c r="D813" s="7">
        <v>45</v>
      </c>
      <c r="E813" s="6">
        <v>45</v>
      </c>
      <c r="F813" s="5">
        <f t="shared" si="17"/>
        <v>117</v>
      </c>
      <c r="G813" s="7"/>
    </row>
    <row r="814" spans="1:7" ht="15" customHeight="1">
      <c r="A814" s="7" t="str">
        <f>"杨星"</f>
        <v>杨星</v>
      </c>
      <c r="B814" s="7">
        <v>20192901</v>
      </c>
      <c r="C814" s="7" t="s">
        <v>7</v>
      </c>
      <c r="D814" s="7">
        <v>45</v>
      </c>
      <c r="E814" s="6">
        <v>45</v>
      </c>
      <c r="F814" s="5">
        <f t="shared" si="17"/>
        <v>117</v>
      </c>
      <c r="G814" s="7"/>
    </row>
    <row r="815" spans="1:7" ht="15" customHeight="1">
      <c r="A815" s="7" t="str">
        <f>"马天赐"</f>
        <v>马天赐</v>
      </c>
      <c r="B815" s="7">
        <v>20192816</v>
      </c>
      <c r="C815" s="7" t="s">
        <v>7</v>
      </c>
      <c r="D815" s="7">
        <v>44</v>
      </c>
      <c r="E815" s="6">
        <v>44</v>
      </c>
      <c r="F815" s="5">
        <f t="shared" si="17"/>
        <v>119</v>
      </c>
      <c r="G815" s="7"/>
    </row>
    <row r="816" spans="1:7" ht="15" customHeight="1">
      <c r="A816" s="7" t="str">
        <f>"姚柳伊"</f>
        <v>姚柳伊</v>
      </c>
      <c r="B816" s="7">
        <v>20192829</v>
      </c>
      <c r="C816" s="7" t="s">
        <v>7</v>
      </c>
      <c r="D816" s="7">
        <v>41</v>
      </c>
      <c r="E816" s="6">
        <v>41</v>
      </c>
      <c r="F816" s="5">
        <f t="shared" si="17"/>
        <v>120</v>
      </c>
      <c r="G816" s="7"/>
    </row>
    <row r="817" spans="1:7" ht="15" customHeight="1">
      <c r="A817" s="7" t="str">
        <f>"徐甲晨"</f>
        <v>徐甲晨</v>
      </c>
      <c r="B817" s="7">
        <v>20192527</v>
      </c>
      <c r="C817" s="7" t="s">
        <v>7</v>
      </c>
      <c r="D817" s="7">
        <v>40.5</v>
      </c>
      <c r="E817" s="6">
        <v>40.5</v>
      </c>
      <c r="F817" s="5">
        <f t="shared" si="17"/>
        <v>121</v>
      </c>
      <c r="G817" s="7"/>
    </row>
    <row r="818" spans="1:7" ht="15" customHeight="1">
      <c r="A818" s="7" t="str">
        <f>"张笑朵"</f>
        <v>张笑朵</v>
      </c>
      <c r="B818" s="7">
        <v>20192906</v>
      </c>
      <c r="C818" s="7" t="s">
        <v>6</v>
      </c>
      <c r="D818" s="7">
        <v>79.5</v>
      </c>
      <c r="E818" s="6">
        <v>79.5</v>
      </c>
      <c r="F818" s="5">
        <f t="shared" ref="F818:F863" si="18">_xlfn.RANK.EQ(E818,$E$818:$E$863)</f>
        <v>1</v>
      </c>
      <c r="G818" s="7"/>
    </row>
    <row r="819" spans="1:7" ht="15" customHeight="1">
      <c r="A819" s="7" t="str">
        <f>"刘亚茹"</f>
        <v>刘亚茹</v>
      </c>
      <c r="B819" s="7">
        <v>20193005</v>
      </c>
      <c r="C819" s="7" t="s">
        <v>6</v>
      </c>
      <c r="D819" s="7">
        <v>75</v>
      </c>
      <c r="E819" s="6">
        <v>75</v>
      </c>
      <c r="F819" s="5">
        <f t="shared" si="18"/>
        <v>2</v>
      </c>
      <c r="G819" s="7"/>
    </row>
    <row r="820" spans="1:7" ht="15" customHeight="1">
      <c r="A820" s="7" t="str">
        <f>"葛闪闪"</f>
        <v>葛闪闪</v>
      </c>
      <c r="B820" s="7">
        <v>20192915</v>
      </c>
      <c r="C820" s="7" t="s">
        <v>6</v>
      </c>
      <c r="D820" s="7">
        <v>74</v>
      </c>
      <c r="E820" s="6">
        <v>74</v>
      </c>
      <c r="F820" s="5">
        <f t="shared" si="18"/>
        <v>3</v>
      </c>
      <c r="G820" s="7"/>
    </row>
    <row r="821" spans="1:7" ht="15" customHeight="1">
      <c r="A821" s="7" t="str">
        <f>"吴威威"</f>
        <v>吴威威</v>
      </c>
      <c r="B821" s="7">
        <v>20193019</v>
      </c>
      <c r="C821" s="7" t="s">
        <v>6</v>
      </c>
      <c r="D821" s="7">
        <v>71</v>
      </c>
      <c r="E821" s="6">
        <v>71</v>
      </c>
      <c r="F821" s="5">
        <f t="shared" si="18"/>
        <v>4</v>
      </c>
      <c r="G821" s="7"/>
    </row>
    <row r="822" spans="1:7" ht="15" customHeight="1">
      <c r="A822" s="7" t="str">
        <f>"路少辉"</f>
        <v>路少辉</v>
      </c>
      <c r="B822" s="7">
        <v>20192926</v>
      </c>
      <c r="C822" s="7" t="s">
        <v>6</v>
      </c>
      <c r="D822" s="15">
        <v>60.5</v>
      </c>
      <c r="E822" s="16">
        <v>70.5</v>
      </c>
      <c r="F822" s="5">
        <f t="shared" si="18"/>
        <v>5</v>
      </c>
      <c r="G822" s="7"/>
    </row>
    <row r="823" spans="1:7" ht="15" customHeight="1">
      <c r="A823" s="7" t="str">
        <f>"鲁晴远"</f>
        <v>鲁晴远</v>
      </c>
      <c r="B823" s="7">
        <v>20192929</v>
      </c>
      <c r="C823" s="7" t="s">
        <v>6</v>
      </c>
      <c r="D823" s="7">
        <v>69.5</v>
      </c>
      <c r="E823" s="6">
        <v>69.5</v>
      </c>
      <c r="F823" s="5">
        <f t="shared" si="18"/>
        <v>6</v>
      </c>
      <c r="G823" s="7"/>
    </row>
    <row r="824" spans="1:7" ht="15" customHeight="1">
      <c r="A824" s="7" t="str">
        <f>"梁启航"</f>
        <v>梁启航</v>
      </c>
      <c r="B824" s="7">
        <v>20193003</v>
      </c>
      <c r="C824" s="7" t="s">
        <v>6</v>
      </c>
      <c r="D824" s="7">
        <v>69.5</v>
      </c>
      <c r="E824" s="6">
        <v>69.5</v>
      </c>
      <c r="F824" s="5">
        <f t="shared" si="18"/>
        <v>6</v>
      </c>
      <c r="G824" s="7"/>
    </row>
    <row r="825" spans="1:7" ht="15" customHeight="1">
      <c r="A825" s="7" t="str">
        <f>"李天宇"</f>
        <v>李天宇</v>
      </c>
      <c r="B825" s="7">
        <v>20192921</v>
      </c>
      <c r="C825" s="7" t="s">
        <v>6</v>
      </c>
      <c r="D825" s="7">
        <v>69</v>
      </c>
      <c r="E825" s="6">
        <v>69</v>
      </c>
      <c r="F825" s="5">
        <f t="shared" si="18"/>
        <v>8</v>
      </c>
      <c r="G825" s="7"/>
    </row>
    <row r="826" spans="1:7" ht="15" customHeight="1">
      <c r="A826" s="7" t="str">
        <f>"郭朝玉"</f>
        <v>郭朝玉</v>
      </c>
      <c r="B826" s="7">
        <v>20192907</v>
      </c>
      <c r="C826" s="7" t="s">
        <v>6</v>
      </c>
      <c r="D826" s="7">
        <v>66.5</v>
      </c>
      <c r="E826" s="6">
        <v>66.5</v>
      </c>
      <c r="F826" s="5">
        <f t="shared" si="18"/>
        <v>9</v>
      </c>
      <c r="G826" s="7"/>
    </row>
    <row r="827" spans="1:7" ht="15" customHeight="1">
      <c r="A827" s="7" t="str">
        <f>"张柯"</f>
        <v>张柯</v>
      </c>
      <c r="B827" s="7">
        <v>20192910</v>
      </c>
      <c r="C827" s="7" t="s">
        <v>6</v>
      </c>
      <c r="D827" s="7">
        <v>66.5</v>
      </c>
      <c r="E827" s="6">
        <v>66.5</v>
      </c>
      <c r="F827" s="5">
        <f t="shared" si="18"/>
        <v>9</v>
      </c>
      <c r="G827" s="7"/>
    </row>
    <row r="828" spans="1:7" ht="15" customHeight="1">
      <c r="A828" s="7" t="str">
        <f>"时不凡"</f>
        <v>时不凡</v>
      </c>
      <c r="B828" s="7">
        <v>20192930</v>
      </c>
      <c r="C828" s="7" t="s">
        <v>6</v>
      </c>
      <c r="D828" s="7">
        <v>66.5</v>
      </c>
      <c r="E828" s="6">
        <v>66.5</v>
      </c>
      <c r="F828" s="5">
        <f t="shared" si="18"/>
        <v>9</v>
      </c>
      <c r="G828" s="7"/>
    </row>
    <row r="829" spans="1:7" ht="15" customHeight="1">
      <c r="A829" s="7" t="str">
        <f>"李南"</f>
        <v>李南</v>
      </c>
      <c r="B829" s="7">
        <v>20193017</v>
      </c>
      <c r="C829" s="7" t="s">
        <v>6</v>
      </c>
      <c r="D829" s="7">
        <v>66</v>
      </c>
      <c r="E829" s="6">
        <v>66</v>
      </c>
      <c r="F829" s="5">
        <f t="shared" si="18"/>
        <v>12</v>
      </c>
      <c r="G829" s="7"/>
    </row>
    <row r="830" spans="1:7" ht="15" customHeight="1">
      <c r="A830" s="7" t="str">
        <f>"文峰"</f>
        <v>文峰</v>
      </c>
      <c r="B830" s="7">
        <v>20192909</v>
      </c>
      <c r="C830" s="7" t="s">
        <v>6</v>
      </c>
      <c r="D830" s="7">
        <v>65.5</v>
      </c>
      <c r="E830" s="6">
        <v>65.5</v>
      </c>
      <c r="F830" s="5">
        <f t="shared" si="18"/>
        <v>13</v>
      </c>
      <c r="G830" s="7"/>
    </row>
    <row r="831" spans="1:7" ht="15" customHeight="1">
      <c r="A831" s="7" t="str">
        <f>"刘甜甜"</f>
        <v>刘甜甜</v>
      </c>
      <c r="B831" s="7">
        <v>20192917</v>
      </c>
      <c r="C831" s="7" t="s">
        <v>6</v>
      </c>
      <c r="D831" s="7">
        <v>65.5</v>
      </c>
      <c r="E831" s="6">
        <v>65.5</v>
      </c>
      <c r="F831" s="5">
        <f t="shared" si="18"/>
        <v>13</v>
      </c>
      <c r="G831" s="7"/>
    </row>
    <row r="832" spans="1:7" ht="15" customHeight="1">
      <c r="A832" s="7" t="str">
        <f>"梁茹"</f>
        <v>梁茹</v>
      </c>
      <c r="B832" s="7">
        <v>20192928</v>
      </c>
      <c r="C832" s="7" t="s">
        <v>6</v>
      </c>
      <c r="D832" s="7">
        <v>65.5</v>
      </c>
      <c r="E832" s="6">
        <v>65.5</v>
      </c>
      <c r="F832" s="5">
        <f t="shared" si="18"/>
        <v>13</v>
      </c>
      <c r="G832" s="7"/>
    </row>
    <row r="833" spans="1:7" ht="15" customHeight="1">
      <c r="A833" s="7" t="str">
        <f>"张楠"</f>
        <v>张楠</v>
      </c>
      <c r="B833" s="7">
        <v>20192911</v>
      </c>
      <c r="C833" s="7" t="s">
        <v>6</v>
      </c>
      <c r="D833" s="7">
        <v>65</v>
      </c>
      <c r="E833" s="6">
        <v>65</v>
      </c>
      <c r="F833" s="5">
        <f t="shared" si="18"/>
        <v>16</v>
      </c>
      <c r="G833" s="7"/>
    </row>
    <row r="834" spans="1:7" ht="15" customHeight="1">
      <c r="A834" s="7" t="str">
        <f>"王沛"</f>
        <v>王沛</v>
      </c>
      <c r="B834" s="7">
        <v>20192903</v>
      </c>
      <c r="C834" s="7" t="s">
        <v>6</v>
      </c>
      <c r="D834" s="7">
        <v>64</v>
      </c>
      <c r="E834" s="6">
        <v>64</v>
      </c>
      <c r="F834" s="5">
        <f t="shared" si="18"/>
        <v>17</v>
      </c>
      <c r="G834" s="7"/>
    </row>
    <row r="835" spans="1:7" ht="15" customHeight="1">
      <c r="A835" s="7" t="str">
        <f>"韩文豪"</f>
        <v>韩文豪</v>
      </c>
      <c r="B835" s="7">
        <v>20193001</v>
      </c>
      <c r="C835" s="7" t="s">
        <v>6</v>
      </c>
      <c r="D835" s="7">
        <v>62.5</v>
      </c>
      <c r="E835" s="6">
        <v>62.5</v>
      </c>
      <c r="F835" s="5">
        <f t="shared" si="18"/>
        <v>18</v>
      </c>
      <c r="G835" s="7"/>
    </row>
    <row r="836" spans="1:7" ht="15" customHeight="1">
      <c r="A836" s="7" t="str">
        <f>"魏梦迪"</f>
        <v>魏梦迪</v>
      </c>
      <c r="B836" s="7">
        <v>20193009</v>
      </c>
      <c r="C836" s="7" t="s">
        <v>6</v>
      </c>
      <c r="D836" s="7">
        <v>62.5</v>
      </c>
      <c r="E836" s="6">
        <v>62.5</v>
      </c>
      <c r="F836" s="5">
        <f t="shared" si="18"/>
        <v>18</v>
      </c>
      <c r="G836" s="7"/>
    </row>
    <row r="837" spans="1:7" ht="15" customHeight="1">
      <c r="A837" s="7" t="str">
        <f>"赵林青"</f>
        <v>赵林青</v>
      </c>
      <c r="B837" s="7">
        <v>20193012</v>
      </c>
      <c r="C837" s="7" t="s">
        <v>6</v>
      </c>
      <c r="D837" s="7">
        <v>61.5</v>
      </c>
      <c r="E837" s="6">
        <v>61.5</v>
      </c>
      <c r="F837" s="5">
        <f t="shared" si="18"/>
        <v>20</v>
      </c>
      <c r="G837" s="7"/>
    </row>
    <row r="838" spans="1:7" s="12" customFormat="1" ht="15" customHeight="1">
      <c r="A838" s="7" t="str">
        <f>"祖藜航"</f>
        <v>祖藜航</v>
      </c>
      <c r="B838" s="7">
        <v>20193016</v>
      </c>
      <c r="C838" s="7" t="s">
        <v>6</v>
      </c>
      <c r="D838" s="7">
        <v>61.5</v>
      </c>
      <c r="E838" s="6">
        <v>61.5</v>
      </c>
      <c r="F838" s="5">
        <f t="shared" si="18"/>
        <v>20</v>
      </c>
      <c r="G838" s="7"/>
    </row>
    <row r="839" spans="1:7" ht="15" customHeight="1">
      <c r="A839" s="11" t="str">
        <f>"徐云飞"</f>
        <v>徐云飞</v>
      </c>
      <c r="B839" s="11">
        <v>20193002</v>
      </c>
      <c r="C839" s="11" t="s">
        <v>6</v>
      </c>
      <c r="D839" s="11">
        <v>60.5</v>
      </c>
      <c r="E839" s="6">
        <v>60.5</v>
      </c>
      <c r="F839" s="5">
        <f t="shared" si="18"/>
        <v>22</v>
      </c>
      <c r="G839" s="11"/>
    </row>
    <row r="840" spans="1:7" ht="15" customHeight="1">
      <c r="A840" s="7" t="str">
        <f>"杨建辉"</f>
        <v>杨建辉</v>
      </c>
      <c r="B840" s="7">
        <v>20192908</v>
      </c>
      <c r="C840" s="7" t="s">
        <v>6</v>
      </c>
      <c r="D840" s="7">
        <v>60</v>
      </c>
      <c r="E840" s="6">
        <v>60</v>
      </c>
      <c r="F840" s="5">
        <f t="shared" si="18"/>
        <v>23</v>
      </c>
      <c r="G840" s="7"/>
    </row>
    <row r="841" spans="1:7" ht="15" customHeight="1">
      <c r="A841" s="7" t="str">
        <f>"李光泽"</f>
        <v>李光泽</v>
      </c>
      <c r="B841" s="7">
        <v>20192905</v>
      </c>
      <c r="C841" s="7" t="s">
        <v>6</v>
      </c>
      <c r="D841" s="7">
        <v>59.5</v>
      </c>
      <c r="E841" s="6">
        <v>59.5</v>
      </c>
      <c r="F841" s="5">
        <f t="shared" si="18"/>
        <v>24</v>
      </c>
      <c r="G841" s="7"/>
    </row>
    <row r="842" spans="1:7" ht="15" customHeight="1">
      <c r="A842" s="7" t="str">
        <f>"杨钊"</f>
        <v>杨钊</v>
      </c>
      <c r="B842" s="7">
        <v>20192919</v>
      </c>
      <c r="C842" s="7" t="s">
        <v>6</v>
      </c>
      <c r="D842" s="7">
        <v>59.5</v>
      </c>
      <c r="E842" s="6">
        <v>59.5</v>
      </c>
      <c r="F842" s="5">
        <f t="shared" si="18"/>
        <v>24</v>
      </c>
      <c r="G842" s="7"/>
    </row>
    <row r="843" spans="1:7" ht="15" customHeight="1">
      <c r="A843" s="7" t="str">
        <f>"曾鑫"</f>
        <v>曾鑫</v>
      </c>
      <c r="B843" s="7">
        <v>20192925</v>
      </c>
      <c r="C843" s="7" t="s">
        <v>6</v>
      </c>
      <c r="D843" s="7">
        <v>59.5</v>
      </c>
      <c r="E843" s="6">
        <v>59.5</v>
      </c>
      <c r="F843" s="5">
        <f t="shared" si="18"/>
        <v>24</v>
      </c>
      <c r="G843" s="7"/>
    </row>
    <row r="844" spans="1:7" ht="15" customHeight="1">
      <c r="A844" s="7" t="str">
        <f>"宋彦举"</f>
        <v>宋彦举</v>
      </c>
      <c r="B844" s="7">
        <v>20193006</v>
      </c>
      <c r="C844" s="7" t="s">
        <v>6</v>
      </c>
      <c r="D844" s="7">
        <v>59</v>
      </c>
      <c r="E844" s="6">
        <v>59</v>
      </c>
      <c r="F844" s="5">
        <f t="shared" si="18"/>
        <v>27</v>
      </c>
      <c r="G844" s="7"/>
    </row>
    <row r="845" spans="1:7" ht="15" customHeight="1">
      <c r="A845" s="7" t="str">
        <f>"陈锦柯"</f>
        <v>陈锦柯</v>
      </c>
      <c r="B845" s="7">
        <v>20193011</v>
      </c>
      <c r="C845" s="7" t="s">
        <v>6</v>
      </c>
      <c r="D845" s="7">
        <v>59</v>
      </c>
      <c r="E845" s="6">
        <v>59</v>
      </c>
      <c r="F845" s="5">
        <f t="shared" si="18"/>
        <v>27</v>
      </c>
      <c r="G845" s="7"/>
    </row>
    <row r="846" spans="1:7" ht="15" customHeight="1">
      <c r="A846" s="7" t="str">
        <f>"程森"</f>
        <v>程森</v>
      </c>
      <c r="B846" s="7">
        <v>20193004</v>
      </c>
      <c r="C846" s="7" t="s">
        <v>6</v>
      </c>
      <c r="D846" s="7">
        <v>58.5</v>
      </c>
      <c r="E846" s="6">
        <v>58.5</v>
      </c>
      <c r="F846" s="5">
        <f t="shared" si="18"/>
        <v>29</v>
      </c>
      <c r="G846" s="7"/>
    </row>
    <row r="847" spans="1:7" ht="15" customHeight="1">
      <c r="A847" s="7" t="str">
        <f>"陶源"</f>
        <v>陶源</v>
      </c>
      <c r="B847" s="7">
        <v>20192902</v>
      </c>
      <c r="C847" s="7" t="s">
        <v>6</v>
      </c>
      <c r="D847" s="7">
        <v>58</v>
      </c>
      <c r="E847" s="6">
        <v>58</v>
      </c>
      <c r="F847" s="5">
        <f t="shared" si="18"/>
        <v>30</v>
      </c>
      <c r="G847" s="7"/>
    </row>
    <row r="848" spans="1:7" ht="15" customHeight="1">
      <c r="A848" s="7" t="str">
        <f>"高辉"</f>
        <v>高辉</v>
      </c>
      <c r="B848" s="7">
        <v>20192918</v>
      </c>
      <c r="C848" s="7" t="s">
        <v>6</v>
      </c>
      <c r="D848" s="7">
        <v>58</v>
      </c>
      <c r="E848" s="6">
        <v>58</v>
      </c>
      <c r="F848" s="5">
        <f t="shared" si="18"/>
        <v>30</v>
      </c>
      <c r="G848" s="7"/>
    </row>
    <row r="849" spans="1:7" ht="15" customHeight="1">
      <c r="A849" s="7" t="str">
        <f>"赵红学"</f>
        <v>赵红学</v>
      </c>
      <c r="B849" s="7">
        <v>20192927</v>
      </c>
      <c r="C849" s="7" t="s">
        <v>6</v>
      </c>
      <c r="D849" s="7">
        <v>55.5</v>
      </c>
      <c r="E849" s="6">
        <v>55.5</v>
      </c>
      <c r="F849" s="5">
        <f t="shared" si="18"/>
        <v>32</v>
      </c>
      <c r="G849" s="7"/>
    </row>
    <row r="850" spans="1:7" ht="15" customHeight="1">
      <c r="A850" s="7" t="str">
        <f>"庄晓鹏"</f>
        <v>庄晓鹏</v>
      </c>
      <c r="B850" s="7">
        <v>20193014</v>
      </c>
      <c r="C850" s="7" t="s">
        <v>6</v>
      </c>
      <c r="D850" s="7">
        <v>55.5</v>
      </c>
      <c r="E850" s="6">
        <v>55.5</v>
      </c>
      <c r="F850" s="5">
        <f t="shared" si="18"/>
        <v>32</v>
      </c>
      <c r="G850" s="7"/>
    </row>
    <row r="851" spans="1:7" ht="15" customHeight="1">
      <c r="A851" s="7" t="str">
        <f>"史大康"</f>
        <v>史大康</v>
      </c>
      <c r="B851" s="7">
        <v>20192904</v>
      </c>
      <c r="C851" s="7" t="s">
        <v>6</v>
      </c>
      <c r="D851" s="7">
        <v>53.5</v>
      </c>
      <c r="E851" s="6">
        <v>53.5</v>
      </c>
      <c r="F851" s="5">
        <f t="shared" si="18"/>
        <v>34</v>
      </c>
      <c r="G851" s="7"/>
    </row>
    <row r="852" spans="1:7" ht="15" customHeight="1">
      <c r="A852" s="7" t="str">
        <f>"赵宇"</f>
        <v>赵宇</v>
      </c>
      <c r="B852" s="7">
        <v>20192914</v>
      </c>
      <c r="C852" s="7" t="s">
        <v>6</v>
      </c>
      <c r="D852" s="7">
        <v>53</v>
      </c>
      <c r="E852" s="6">
        <v>53</v>
      </c>
      <c r="F852" s="5">
        <f t="shared" si="18"/>
        <v>35</v>
      </c>
      <c r="G852" s="7"/>
    </row>
    <row r="853" spans="1:7" ht="15" customHeight="1">
      <c r="A853" s="7" t="str">
        <f>"李广阳"</f>
        <v>李广阳</v>
      </c>
      <c r="B853" s="7">
        <v>20193015</v>
      </c>
      <c r="C853" s="7" t="s">
        <v>6</v>
      </c>
      <c r="D853" s="7">
        <v>53</v>
      </c>
      <c r="E853" s="6">
        <v>53</v>
      </c>
      <c r="F853" s="5">
        <f t="shared" si="18"/>
        <v>35</v>
      </c>
      <c r="G853" s="7"/>
    </row>
    <row r="854" spans="1:7" ht="15" customHeight="1">
      <c r="A854" s="7" t="str">
        <f>"杨浩斐"</f>
        <v>杨浩斐</v>
      </c>
      <c r="B854" s="7">
        <v>20192913</v>
      </c>
      <c r="C854" s="7" t="s">
        <v>6</v>
      </c>
      <c r="D854" s="7">
        <v>51</v>
      </c>
      <c r="E854" s="6">
        <v>51</v>
      </c>
      <c r="F854" s="5">
        <f t="shared" si="18"/>
        <v>37</v>
      </c>
      <c r="G854" s="7"/>
    </row>
    <row r="855" spans="1:7" ht="15" customHeight="1">
      <c r="A855" s="7" t="str">
        <f>"邓宇"</f>
        <v>邓宇</v>
      </c>
      <c r="B855" s="7">
        <v>20192923</v>
      </c>
      <c r="C855" s="7" t="s">
        <v>6</v>
      </c>
      <c r="D855" s="7">
        <v>50.5</v>
      </c>
      <c r="E855" s="6">
        <v>50.5</v>
      </c>
      <c r="F855" s="5">
        <f t="shared" si="18"/>
        <v>38</v>
      </c>
      <c r="G855" s="7"/>
    </row>
    <row r="856" spans="1:7" ht="15" customHeight="1">
      <c r="A856" s="7" t="str">
        <f>"秦振苗"</f>
        <v>秦振苗</v>
      </c>
      <c r="B856" s="7">
        <v>20192916</v>
      </c>
      <c r="C856" s="7" t="s">
        <v>6</v>
      </c>
      <c r="D856" s="7">
        <v>49</v>
      </c>
      <c r="E856" s="6">
        <v>49</v>
      </c>
      <c r="F856" s="5">
        <f t="shared" si="18"/>
        <v>39</v>
      </c>
      <c r="G856" s="7"/>
    </row>
    <row r="857" spans="1:7" ht="15" customHeight="1">
      <c r="A857" s="7" t="str">
        <f>"鲁征远"</f>
        <v>鲁征远</v>
      </c>
      <c r="B857" s="7">
        <v>20193008</v>
      </c>
      <c r="C857" s="7" t="s">
        <v>6</v>
      </c>
      <c r="D857" s="7">
        <v>48.5</v>
      </c>
      <c r="E857" s="6">
        <v>48.5</v>
      </c>
      <c r="F857" s="5">
        <f t="shared" si="18"/>
        <v>40</v>
      </c>
      <c r="G857" s="7"/>
    </row>
    <row r="858" spans="1:7" ht="15" customHeight="1">
      <c r="A858" s="7" t="str">
        <f>"张晗"</f>
        <v>张晗</v>
      </c>
      <c r="B858" s="7">
        <v>20192920</v>
      </c>
      <c r="C858" s="7" t="s">
        <v>6</v>
      </c>
      <c r="D858" s="7">
        <v>46.5</v>
      </c>
      <c r="E858" s="6">
        <v>46.5</v>
      </c>
      <c r="F858" s="5">
        <f t="shared" si="18"/>
        <v>41</v>
      </c>
      <c r="G858" s="7"/>
    </row>
    <row r="859" spans="1:7" ht="15" customHeight="1">
      <c r="A859" s="7" t="str">
        <f>"王萌"</f>
        <v>王萌</v>
      </c>
      <c r="B859" s="7">
        <v>20192912</v>
      </c>
      <c r="C859" s="7" t="s">
        <v>6</v>
      </c>
      <c r="D859" s="7">
        <v>44</v>
      </c>
      <c r="E859" s="6">
        <v>44</v>
      </c>
      <c r="F859" s="5">
        <f t="shared" si="18"/>
        <v>42</v>
      </c>
      <c r="G859" s="7"/>
    </row>
    <row r="860" spans="1:7" ht="15" customHeight="1">
      <c r="A860" s="7" t="str">
        <f>"刘素中"</f>
        <v>刘素中</v>
      </c>
      <c r="B860" s="7">
        <v>20192924</v>
      </c>
      <c r="C860" s="7" t="s">
        <v>6</v>
      </c>
      <c r="D860" s="7">
        <v>44</v>
      </c>
      <c r="E860" s="6">
        <v>44</v>
      </c>
      <c r="F860" s="5">
        <f t="shared" si="18"/>
        <v>42</v>
      </c>
      <c r="G860" s="7"/>
    </row>
    <row r="861" spans="1:7" ht="15" customHeight="1">
      <c r="A861" s="7" t="str">
        <f>"鲁岩峰"</f>
        <v>鲁岩峰</v>
      </c>
      <c r="B861" s="7">
        <v>20193007</v>
      </c>
      <c r="C861" s="7" t="s">
        <v>6</v>
      </c>
      <c r="D861" s="7">
        <v>38</v>
      </c>
      <c r="E861" s="6">
        <v>38</v>
      </c>
      <c r="F861" s="5">
        <f t="shared" si="18"/>
        <v>44</v>
      </c>
      <c r="G861" s="7"/>
    </row>
    <row r="862" spans="1:7" ht="15" customHeight="1">
      <c r="A862" s="7" t="str">
        <f>"张甦"</f>
        <v>张甦</v>
      </c>
      <c r="B862" s="7">
        <v>20193013</v>
      </c>
      <c r="C862" s="7" t="s">
        <v>6</v>
      </c>
      <c r="D862" s="7">
        <v>29</v>
      </c>
      <c r="E862" s="6">
        <v>29</v>
      </c>
      <c r="F862" s="5">
        <f t="shared" si="18"/>
        <v>45</v>
      </c>
      <c r="G862" s="7"/>
    </row>
    <row r="863" spans="1:7" ht="15" customHeight="1">
      <c r="A863" s="7" t="str">
        <f>"董一民"</f>
        <v>董一民</v>
      </c>
      <c r="B863" s="7">
        <v>20193010</v>
      </c>
      <c r="C863" s="7" t="s">
        <v>6</v>
      </c>
      <c r="D863" s="7">
        <v>19</v>
      </c>
      <c r="E863" s="6">
        <v>19</v>
      </c>
      <c r="F863" s="5">
        <f t="shared" si="18"/>
        <v>46</v>
      </c>
      <c r="G863" s="7"/>
    </row>
    <row r="864" spans="1:7" ht="15" customHeight="1">
      <c r="A864" s="4" t="str">
        <f>"马文超"</f>
        <v>马文超</v>
      </c>
      <c r="B864" s="4">
        <v>20192922</v>
      </c>
      <c r="C864" s="4" t="s">
        <v>6</v>
      </c>
      <c r="D864" s="4">
        <v>0</v>
      </c>
      <c r="E864" s="6">
        <v>0</v>
      </c>
      <c r="F864" s="5"/>
      <c r="G864" s="4" t="s">
        <v>0</v>
      </c>
    </row>
    <row r="865" spans="1:7" ht="15" customHeight="1">
      <c r="A865" s="11" t="str">
        <f>"许琳"</f>
        <v>许琳</v>
      </c>
      <c r="B865" s="11">
        <v>20193018</v>
      </c>
      <c r="C865" s="11" t="s">
        <v>6</v>
      </c>
      <c r="D865" s="11">
        <v>0</v>
      </c>
      <c r="E865" s="10">
        <v>0</v>
      </c>
      <c r="F865" s="9"/>
      <c r="G865" s="8" t="s">
        <v>0</v>
      </c>
    </row>
    <row r="866" spans="1:7" ht="15" customHeight="1">
      <c r="A866" s="7" t="str">
        <f>"赵蒙蒙"</f>
        <v>赵蒙蒙</v>
      </c>
      <c r="B866" s="7">
        <v>20193023</v>
      </c>
      <c r="C866" s="7" t="s">
        <v>5</v>
      </c>
      <c r="D866" s="7">
        <v>68</v>
      </c>
      <c r="E866" s="6">
        <v>68</v>
      </c>
      <c r="F866" s="5">
        <v>1</v>
      </c>
      <c r="G866" s="7"/>
    </row>
    <row r="867" spans="1:7" ht="15" customHeight="1">
      <c r="A867" s="7" t="str">
        <f>"付霞"</f>
        <v>付霞</v>
      </c>
      <c r="B867" s="7">
        <v>20193021</v>
      </c>
      <c r="C867" s="7" t="s">
        <v>5</v>
      </c>
      <c r="D867" s="7">
        <v>67.5</v>
      </c>
      <c r="E867" s="6">
        <v>67.5</v>
      </c>
      <c r="F867" s="5">
        <v>2</v>
      </c>
      <c r="G867" s="7"/>
    </row>
    <row r="868" spans="1:7" ht="15" customHeight="1">
      <c r="A868" s="7" t="str">
        <f>"曹瑞奇"</f>
        <v>曹瑞奇</v>
      </c>
      <c r="B868" s="7">
        <v>20193028</v>
      </c>
      <c r="C868" s="7" t="s">
        <v>5</v>
      </c>
      <c r="D868" s="7">
        <v>60</v>
      </c>
      <c r="E868" s="6">
        <v>60</v>
      </c>
      <c r="F868" s="5">
        <v>3</v>
      </c>
      <c r="G868" s="7"/>
    </row>
    <row r="869" spans="1:7" ht="15" customHeight="1">
      <c r="A869" s="7" t="str">
        <f>"王一品"</f>
        <v>王一品</v>
      </c>
      <c r="B869" s="7">
        <v>20193020</v>
      </c>
      <c r="C869" s="7" t="s">
        <v>5</v>
      </c>
      <c r="D869" s="7">
        <v>57.5</v>
      </c>
      <c r="E869" s="6">
        <v>57.5</v>
      </c>
      <c r="F869" s="5">
        <v>4</v>
      </c>
      <c r="G869" s="7"/>
    </row>
    <row r="870" spans="1:7" ht="15" customHeight="1">
      <c r="A870" s="7" t="str">
        <f>"张林泉"</f>
        <v>张林泉</v>
      </c>
      <c r="B870" s="7">
        <v>20193022</v>
      </c>
      <c r="C870" s="7" t="s">
        <v>5</v>
      </c>
      <c r="D870" s="7">
        <v>54</v>
      </c>
      <c r="E870" s="6">
        <v>54</v>
      </c>
      <c r="F870" s="5">
        <v>5</v>
      </c>
      <c r="G870" s="7"/>
    </row>
    <row r="871" spans="1:7" ht="15" customHeight="1">
      <c r="A871" s="7" t="str">
        <f>"邢益甜"</f>
        <v>邢益甜</v>
      </c>
      <c r="B871" s="7">
        <v>20193024</v>
      </c>
      <c r="C871" s="7" t="s">
        <v>5</v>
      </c>
      <c r="D871" s="7">
        <v>49.5</v>
      </c>
      <c r="E871" s="6">
        <v>49.5</v>
      </c>
      <c r="F871" s="5">
        <v>6</v>
      </c>
      <c r="G871" s="7"/>
    </row>
    <row r="872" spans="1:7" ht="15" customHeight="1">
      <c r="A872" s="7" t="str">
        <f>"李静亚"</f>
        <v>李静亚</v>
      </c>
      <c r="B872" s="7">
        <v>20193025</v>
      </c>
      <c r="C872" s="7" t="s">
        <v>5</v>
      </c>
      <c r="D872" s="7">
        <v>49.5</v>
      </c>
      <c r="E872" s="6">
        <v>49.5</v>
      </c>
      <c r="F872" s="5">
        <v>6</v>
      </c>
      <c r="G872" s="7"/>
    </row>
    <row r="873" spans="1:7" ht="15" customHeight="1">
      <c r="A873" s="7" t="str">
        <f>"赵肖雨"</f>
        <v>赵肖雨</v>
      </c>
      <c r="B873" s="7">
        <v>20193026</v>
      </c>
      <c r="C873" s="7" t="s">
        <v>5</v>
      </c>
      <c r="D873" s="7">
        <v>48.5</v>
      </c>
      <c r="E873" s="6">
        <v>48.5</v>
      </c>
      <c r="F873" s="5">
        <v>8</v>
      </c>
      <c r="G873" s="7"/>
    </row>
    <row r="874" spans="1:7" ht="15" customHeight="1">
      <c r="A874" s="7" t="str">
        <f>"赵政"</f>
        <v>赵政</v>
      </c>
      <c r="B874" s="7">
        <v>20193027</v>
      </c>
      <c r="C874" s="7" t="s">
        <v>5</v>
      </c>
      <c r="D874" s="7">
        <v>42.5</v>
      </c>
      <c r="E874" s="6">
        <v>42.5</v>
      </c>
      <c r="F874" s="5">
        <v>9</v>
      </c>
      <c r="G874" s="7"/>
    </row>
    <row r="875" spans="1:7" ht="15" customHeight="1">
      <c r="A875" s="7" t="str">
        <f>"田静"</f>
        <v>田静</v>
      </c>
      <c r="B875" s="7">
        <v>20193123</v>
      </c>
      <c r="C875" s="7" t="s">
        <v>4</v>
      </c>
      <c r="D875" s="7">
        <v>70</v>
      </c>
      <c r="E875" s="6">
        <v>70</v>
      </c>
      <c r="F875" s="5">
        <f t="shared" ref="F875:F906" si="19">_xlfn.RANK.EQ(E875,$E$875:$E$924)</f>
        <v>1</v>
      </c>
      <c r="G875" s="7"/>
    </row>
    <row r="876" spans="1:7" ht="15" customHeight="1">
      <c r="A876" s="7" t="str">
        <f>"王璐晨"</f>
        <v>王璐晨</v>
      </c>
      <c r="B876" s="7">
        <v>20193206</v>
      </c>
      <c r="C876" s="7" t="s">
        <v>4</v>
      </c>
      <c r="D876" s="7">
        <v>69.5</v>
      </c>
      <c r="E876" s="6">
        <v>69.5</v>
      </c>
      <c r="F876" s="5">
        <f t="shared" si="19"/>
        <v>2</v>
      </c>
      <c r="G876" s="7"/>
    </row>
    <row r="877" spans="1:7" ht="15" customHeight="1">
      <c r="A877" s="7" t="str">
        <f>"郭丹丹"</f>
        <v>郭丹丹</v>
      </c>
      <c r="B877" s="7">
        <v>20193210</v>
      </c>
      <c r="C877" s="7" t="s">
        <v>4</v>
      </c>
      <c r="D877" s="7">
        <v>69</v>
      </c>
      <c r="E877" s="6">
        <v>69</v>
      </c>
      <c r="F877" s="5">
        <f t="shared" si="19"/>
        <v>3</v>
      </c>
      <c r="G877" s="7"/>
    </row>
    <row r="878" spans="1:7" ht="15" customHeight="1">
      <c r="A878" s="7" t="str">
        <f>"付聪科"</f>
        <v>付聪科</v>
      </c>
      <c r="B878" s="7">
        <v>20193104</v>
      </c>
      <c r="C878" s="7" t="s">
        <v>4</v>
      </c>
      <c r="D878" s="7">
        <v>68.5</v>
      </c>
      <c r="E878" s="6">
        <v>68.5</v>
      </c>
      <c r="F878" s="5">
        <f t="shared" si="19"/>
        <v>4</v>
      </c>
      <c r="G878" s="7"/>
    </row>
    <row r="879" spans="1:7" ht="15" customHeight="1">
      <c r="A879" s="7" t="str">
        <f>"朱良然"</f>
        <v>朱良然</v>
      </c>
      <c r="B879" s="7">
        <v>20193129</v>
      </c>
      <c r="C879" s="7" t="s">
        <v>4</v>
      </c>
      <c r="D879" s="7">
        <v>68.5</v>
      </c>
      <c r="E879" s="6">
        <v>68.5</v>
      </c>
      <c r="F879" s="5">
        <f t="shared" si="19"/>
        <v>4</v>
      </c>
      <c r="G879" s="7"/>
    </row>
    <row r="880" spans="1:7" ht="15" customHeight="1">
      <c r="A880" s="7" t="str">
        <f>"高瑞玲"</f>
        <v>高瑞玲</v>
      </c>
      <c r="B880" s="7">
        <v>20193108</v>
      </c>
      <c r="C880" s="7" t="s">
        <v>4</v>
      </c>
      <c r="D880" s="7">
        <v>67.5</v>
      </c>
      <c r="E880" s="6">
        <v>67.5</v>
      </c>
      <c r="F880" s="5">
        <f t="shared" si="19"/>
        <v>6</v>
      </c>
      <c r="G880" s="7"/>
    </row>
    <row r="881" spans="1:7" ht="15" customHeight="1">
      <c r="A881" s="7" t="str">
        <f>"韩爽晴"</f>
        <v>韩爽晴</v>
      </c>
      <c r="B881" s="7">
        <v>20193106</v>
      </c>
      <c r="C881" s="7" t="s">
        <v>4</v>
      </c>
      <c r="D881" s="7">
        <v>67</v>
      </c>
      <c r="E881" s="6">
        <v>67</v>
      </c>
      <c r="F881" s="5">
        <f t="shared" si="19"/>
        <v>7</v>
      </c>
      <c r="G881" s="7"/>
    </row>
    <row r="882" spans="1:7" ht="15" customHeight="1">
      <c r="A882" s="7" t="str">
        <f>"陈培"</f>
        <v>陈培</v>
      </c>
      <c r="B882" s="7">
        <v>20193205</v>
      </c>
      <c r="C882" s="7" t="s">
        <v>4</v>
      </c>
      <c r="D882" s="7">
        <v>67</v>
      </c>
      <c r="E882" s="6">
        <v>67</v>
      </c>
      <c r="F882" s="5">
        <f t="shared" si="19"/>
        <v>7</v>
      </c>
      <c r="G882" s="7"/>
    </row>
    <row r="883" spans="1:7" ht="15" customHeight="1">
      <c r="A883" s="7" t="str">
        <f>"金卉冬"</f>
        <v>金卉冬</v>
      </c>
      <c r="B883" s="7">
        <v>20193103</v>
      </c>
      <c r="C883" s="7" t="s">
        <v>4</v>
      </c>
      <c r="D883" s="7">
        <v>65</v>
      </c>
      <c r="E883" s="6">
        <v>65</v>
      </c>
      <c r="F883" s="5">
        <f t="shared" si="19"/>
        <v>9</v>
      </c>
      <c r="G883" s="7"/>
    </row>
    <row r="884" spans="1:7" ht="15" customHeight="1">
      <c r="A884" s="7" t="str">
        <f>"李敏"</f>
        <v>李敏</v>
      </c>
      <c r="B884" s="7">
        <v>20193126</v>
      </c>
      <c r="C884" s="7" t="s">
        <v>4</v>
      </c>
      <c r="D884" s="7">
        <v>65</v>
      </c>
      <c r="E884" s="6">
        <v>65</v>
      </c>
      <c r="F884" s="5">
        <f t="shared" si="19"/>
        <v>9</v>
      </c>
      <c r="G884" s="7"/>
    </row>
    <row r="885" spans="1:7" ht="15" customHeight="1">
      <c r="A885" s="7" t="str">
        <f>"汪书燕"</f>
        <v>汪书燕</v>
      </c>
      <c r="B885" s="7">
        <v>20193113</v>
      </c>
      <c r="C885" s="7" t="s">
        <v>4</v>
      </c>
      <c r="D885" s="7">
        <v>64.5</v>
      </c>
      <c r="E885" s="6">
        <v>64.5</v>
      </c>
      <c r="F885" s="5">
        <f t="shared" si="19"/>
        <v>11</v>
      </c>
      <c r="G885" s="7"/>
    </row>
    <row r="886" spans="1:7" ht="15" customHeight="1">
      <c r="A886" s="7" t="str">
        <f>"李婷婷"</f>
        <v>李婷婷</v>
      </c>
      <c r="B886" s="7">
        <v>20193111</v>
      </c>
      <c r="C886" s="7" t="s">
        <v>4</v>
      </c>
      <c r="D886" s="7">
        <v>64</v>
      </c>
      <c r="E886" s="6">
        <v>64</v>
      </c>
      <c r="F886" s="5">
        <f t="shared" si="19"/>
        <v>12</v>
      </c>
      <c r="G886" s="7"/>
    </row>
    <row r="887" spans="1:7" ht="15" customHeight="1">
      <c r="A887" s="7" t="str">
        <f>"王路遥"</f>
        <v>王路遥</v>
      </c>
      <c r="B887" s="7">
        <v>20193116</v>
      </c>
      <c r="C887" s="7" t="s">
        <v>4</v>
      </c>
      <c r="D887" s="7">
        <v>64</v>
      </c>
      <c r="E887" s="6">
        <v>64</v>
      </c>
      <c r="F887" s="5">
        <f t="shared" si="19"/>
        <v>12</v>
      </c>
      <c r="G887" s="7"/>
    </row>
    <row r="888" spans="1:7" ht="15" customHeight="1">
      <c r="A888" s="7" t="str">
        <f>"易少喆"</f>
        <v>易少喆</v>
      </c>
      <c r="B888" s="7">
        <v>20193107</v>
      </c>
      <c r="C888" s="7" t="s">
        <v>4</v>
      </c>
      <c r="D888" s="7">
        <v>63</v>
      </c>
      <c r="E888" s="6">
        <v>63</v>
      </c>
      <c r="F888" s="5">
        <f t="shared" si="19"/>
        <v>14</v>
      </c>
      <c r="G888" s="7"/>
    </row>
    <row r="889" spans="1:7" ht="15" customHeight="1">
      <c r="A889" s="7" t="str">
        <f>"刘兆舵"</f>
        <v>刘兆舵</v>
      </c>
      <c r="B889" s="7">
        <v>20193203</v>
      </c>
      <c r="C889" s="7" t="s">
        <v>4</v>
      </c>
      <c r="D889" s="7">
        <v>62.5</v>
      </c>
      <c r="E889" s="6">
        <v>62.5</v>
      </c>
      <c r="F889" s="5">
        <f t="shared" si="19"/>
        <v>15</v>
      </c>
      <c r="G889" s="7"/>
    </row>
    <row r="890" spans="1:7" ht="15" customHeight="1">
      <c r="A890" s="7" t="str">
        <f>"章丹"</f>
        <v>章丹</v>
      </c>
      <c r="B890" s="7">
        <v>20193122</v>
      </c>
      <c r="C890" s="7" t="s">
        <v>4</v>
      </c>
      <c r="D890" s="7">
        <v>62</v>
      </c>
      <c r="E890" s="6">
        <v>62</v>
      </c>
      <c r="F890" s="5">
        <f t="shared" si="19"/>
        <v>16</v>
      </c>
      <c r="G890" s="7"/>
    </row>
    <row r="891" spans="1:7" ht="15" customHeight="1">
      <c r="A891" s="7" t="str">
        <f>"梁雅婷"</f>
        <v>梁雅婷</v>
      </c>
      <c r="B891" s="7">
        <v>20193202</v>
      </c>
      <c r="C891" s="7" t="s">
        <v>4</v>
      </c>
      <c r="D891" s="7">
        <v>61</v>
      </c>
      <c r="E891" s="6">
        <v>61</v>
      </c>
      <c r="F891" s="5">
        <f t="shared" si="19"/>
        <v>17</v>
      </c>
      <c r="G891" s="7"/>
    </row>
    <row r="892" spans="1:7" ht="15" customHeight="1">
      <c r="A892" s="7" t="str">
        <f>"施杜娟"</f>
        <v>施杜娟</v>
      </c>
      <c r="B892" s="7">
        <v>20193216</v>
      </c>
      <c r="C892" s="7" t="s">
        <v>4</v>
      </c>
      <c r="D892" s="7">
        <v>60</v>
      </c>
      <c r="E892" s="6">
        <v>60</v>
      </c>
      <c r="F892" s="5">
        <f t="shared" si="19"/>
        <v>18</v>
      </c>
      <c r="G892" s="7"/>
    </row>
    <row r="893" spans="1:7" ht="15" customHeight="1">
      <c r="A893" s="7" t="str">
        <f>"常雪"</f>
        <v>常雪</v>
      </c>
      <c r="B893" s="7">
        <v>20193110</v>
      </c>
      <c r="C893" s="7" t="s">
        <v>4</v>
      </c>
      <c r="D893" s="7">
        <v>59.5</v>
      </c>
      <c r="E893" s="6">
        <v>59.5</v>
      </c>
      <c r="F893" s="5">
        <f t="shared" si="19"/>
        <v>19</v>
      </c>
      <c r="G893" s="7"/>
    </row>
    <row r="894" spans="1:7" ht="15" customHeight="1">
      <c r="A894" s="7" t="str">
        <f>"肖佳琳"</f>
        <v>肖佳琳</v>
      </c>
      <c r="B894" s="7">
        <v>20193112</v>
      </c>
      <c r="C894" s="7" t="s">
        <v>4</v>
      </c>
      <c r="D894" s="7">
        <v>59.5</v>
      </c>
      <c r="E894" s="6">
        <v>59.5</v>
      </c>
      <c r="F894" s="5">
        <f t="shared" si="19"/>
        <v>19</v>
      </c>
      <c r="G894" s="7"/>
    </row>
    <row r="895" spans="1:7" ht="15" customHeight="1">
      <c r="A895" s="11" t="str">
        <f>"李幸芬"</f>
        <v>李幸芬</v>
      </c>
      <c r="B895" s="11">
        <v>20193121</v>
      </c>
      <c r="C895" s="11" t="s">
        <v>4</v>
      </c>
      <c r="D895" s="11">
        <v>59.5</v>
      </c>
      <c r="E895" s="10">
        <v>59.5</v>
      </c>
      <c r="F895" s="5">
        <f t="shared" si="19"/>
        <v>19</v>
      </c>
      <c r="G895" s="11"/>
    </row>
    <row r="896" spans="1:7" ht="15" customHeight="1">
      <c r="A896" s="7" t="str">
        <f>"马静"</f>
        <v>马静</v>
      </c>
      <c r="B896" s="7">
        <v>20193220</v>
      </c>
      <c r="C896" s="7" t="s">
        <v>4</v>
      </c>
      <c r="D896" s="7">
        <v>59.5</v>
      </c>
      <c r="E896" s="6">
        <v>59.5</v>
      </c>
      <c r="F896" s="5">
        <f t="shared" si="19"/>
        <v>19</v>
      </c>
      <c r="G896" s="7"/>
    </row>
    <row r="897" spans="1:7" ht="15" customHeight="1">
      <c r="A897" s="7" t="str">
        <f>"肖静歌"</f>
        <v>肖静歌</v>
      </c>
      <c r="B897" s="7">
        <v>20193128</v>
      </c>
      <c r="C897" s="7" t="s">
        <v>4</v>
      </c>
      <c r="D897" s="7">
        <v>57.5</v>
      </c>
      <c r="E897" s="6">
        <v>57.5</v>
      </c>
      <c r="F897" s="5">
        <f t="shared" si="19"/>
        <v>23</v>
      </c>
      <c r="G897" s="7"/>
    </row>
    <row r="898" spans="1:7" ht="15" customHeight="1">
      <c r="A898" s="7" t="str">
        <f>"李媛"</f>
        <v>李媛</v>
      </c>
      <c r="B898" s="7">
        <v>20193101</v>
      </c>
      <c r="C898" s="7" t="s">
        <v>4</v>
      </c>
      <c r="D898" s="7">
        <v>57</v>
      </c>
      <c r="E898" s="6">
        <v>57</v>
      </c>
      <c r="F898" s="5">
        <f t="shared" si="19"/>
        <v>24</v>
      </c>
      <c r="G898" s="7"/>
    </row>
    <row r="899" spans="1:7" ht="15" customHeight="1">
      <c r="A899" s="7" t="str">
        <f>"董玉玲"</f>
        <v>董玉玲</v>
      </c>
      <c r="B899" s="7">
        <v>20193114</v>
      </c>
      <c r="C899" s="7" t="s">
        <v>4</v>
      </c>
      <c r="D899" s="7">
        <v>57</v>
      </c>
      <c r="E899" s="6">
        <v>57</v>
      </c>
      <c r="F899" s="5">
        <f t="shared" si="19"/>
        <v>24</v>
      </c>
      <c r="G899" s="7"/>
    </row>
    <row r="900" spans="1:7" ht="15" customHeight="1">
      <c r="A900" s="7" t="str">
        <f>"蒙海燕"</f>
        <v>蒙海燕</v>
      </c>
      <c r="B900" s="7">
        <v>20193127</v>
      </c>
      <c r="C900" s="7" t="s">
        <v>4</v>
      </c>
      <c r="D900" s="7">
        <v>56.5</v>
      </c>
      <c r="E900" s="6">
        <v>56.5</v>
      </c>
      <c r="F900" s="5">
        <f t="shared" si="19"/>
        <v>26</v>
      </c>
      <c r="G900" s="7"/>
    </row>
    <row r="901" spans="1:7" ht="15" customHeight="1">
      <c r="A901" s="7" t="str">
        <f>"李曼"</f>
        <v>李曼</v>
      </c>
      <c r="B901" s="7">
        <v>20193214</v>
      </c>
      <c r="C901" s="7" t="s">
        <v>4</v>
      </c>
      <c r="D901" s="7">
        <v>56.5</v>
      </c>
      <c r="E901" s="6">
        <v>56.5</v>
      </c>
      <c r="F901" s="5">
        <f t="shared" si="19"/>
        <v>26</v>
      </c>
      <c r="G901" s="7"/>
    </row>
    <row r="902" spans="1:7" ht="15" customHeight="1">
      <c r="A902" s="7" t="str">
        <f>"李琳"</f>
        <v>李琳</v>
      </c>
      <c r="B902" s="7">
        <v>20193105</v>
      </c>
      <c r="C902" s="7" t="s">
        <v>4</v>
      </c>
      <c r="D902" s="7">
        <v>55.5</v>
      </c>
      <c r="E902" s="6">
        <v>55.5</v>
      </c>
      <c r="F902" s="5">
        <f t="shared" si="19"/>
        <v>28</v>
      </c>
      <c r="G902" s="7"/>
    </row>
    <row r="903" spans="1:7" ht="15" customHeight="1">
      <c r="A903" s="7" t="str">
        <f>"高宇航"</f>
        <v>高宇航</v>
      </c>
      <c r="B903" s="7">
        <v>20193109</v>
      </c>
      <c r="C903" s="7" t="s">
        <v>4</v>
      </c>
      <c r="D903" s="7">
        <v>55</v>
      </c>
      <c r="E903" s="6">
        <v>55</v>
      </c>
      <c r="F903" s="5">
        <f t="shared" si="19"/>
        <v>29</v>
      </c>
      <c r="G903" s="7"/>
    </row>
    <row r="904" spans="1:7" ht="15" customHeight="1">
      <c r="A904" s="7" t="str">
        <f>"薛彤"</f>
        <v>薛彤</v>
      </c>
      <c r="B904" s="7">
        <v>20193120</v>
      </c>
      <c r="C904" s="7" t="s">
        <v>4</v>
      </c>
      <c r="D904" s="7">
        <v>55</v>
      </c>
      <c r="E904" s="6">
        <v>55</v>
      </c>
      <c r="F904" s="5">
        <f t="shared" si="19"/>
        <v>29</v>
      </c>
      <c r="G904" s="7"/>
    </row>
    <row r="905" spans="1:7" ht="15" customHeight="1">
      <c r="A905" s="7" t="str">
        <f>"齐晶煜"</f>
        <v>齐晶煜</v>
      </c>
      <c r="B905" s="7">
        <v>20193130</v>
      </c>
      <c r="C905" s="7" t="s">
        <v>4</v>
      </c>
      <c r="D905" s="7">
        <v>55</v>
      </c>
      <c r="E905" s="6">
        <v>55</v>
      </c>
      <c r="F905" s="5">
        <f t="shared" si="19"/>
        <v>29</v>
      </c>
      <c r="G905" s="7"/>
    </row>
    <row r="906" spans="1:7" ht="15" customHeight="1">
      <c r="A906" s="7" t="str">
        <f>"肜斯威"</f>
        <v>肜斯威</v>
      </c>
      <c r="B906" s="7">
        <v>20193208</v>
      </c>
      <c r="C906" s="7" t="s">
        <v>4</v>
      </c>
      <c r="D906" s="7">
        <v>55</v>
      </c>
      <c r="E906" s="6">
        <v>55</v>
      </c>
      <c r="F906" s="5">
        <f t="shared" si="19"/>
        <v>29</v>
      </c>
      <c r="G906" s="7"/>
    </row>
    <row r="907" spans="1:7" ht="15" customHeight="1">
      <c r="A907" s="7" t="str">
        <f>"宋倩"</f>
        <v>宋倩</v>
      </c>
      <c r="B907" s="7">
        <v>20193030</v>
      </c>
      <c r="C907" s="7" t="s">
        <v>4</v>
      </c>
      <c r="D907" s="7">
        <v>54.5</v>
      </c>
      <c r="E907" s="6">
        <v>54.5</v>
      </c>
      <c r="F907" s="5">
        <f t="shared" ref="F907:F924" si="20">_xlfn.RANK.EQ(E907,$E$875:$E$924)</f>
        <v>33</v>
      </c>
      <c r="G907" s="7"/>
    </row>
    <row r="908" spans="1:7" ht="15" customHeight="1">
      <c r="A908" s="7" t="str">
        <f>"杨明璞"</f>
        <v>杨明璞</v>
      </c>
      <c r="B908" s="7">
        <v>20193117</v>
      </c>
      <c r="C908" s="7" t="s">
        <v>4</v>
      </c>
      <c r="D908" s="7">
        <v>54.5</v>
      </c>
      <c r="E908" s="6">
        <v>54.5</v>
      </c>
      <c r="F908" s="5">
        <f t="shared" si="20"/>
        <v>33</v>
      </c>
      <c r="G908" s="7"/>
    </row>
    <row r="909" spans="1:7" ht="15" customHeight="1">
      <c r="A909" s="7" t="str">
        <f>"陈亚静"</f>
        <v>陈亚静</v>
      </c>
      <c r="B909" s="7">
        <v>20193209</v>
      </c>
      <c r="C909" s="7" t="s">
        <v>4</v>
      </c>
      <c r="D909" s="7">
        <v>54.5</v>
      </c>
      <c r="E909" s="6">
        <v>54.5</v>
      </c>
      <c r="F909" s="5">
        <f t="shared" si="20"/>
        <v>33</v>
      </c>
      <c r="G909" s="7"/>
    </row>
    <row r="910" spans="1:7" ht="15" customHeight="1">
      <c r="A910" s="7" t="str">
        <f>"王利赢"</f>
        <v>王利赢</v>
      </c>
      <c r="B910" s="7">
        <v>20193204</v>
      </c>
      <c r="C910" s="7" t="s">
        <v>4</v>
      </c>
      <c r="D910" s="7">
        <v>54</v>
      </c>
      <c r="E910" s="6">
        <v>54</v>
      </c>
      <c r="F910" s="5">
        <f t="shared" si="20"/>
        <v>36</v>
      </c>
      <c r="G910" s="7"/>
    </row>
    <row r="911" spans="1:7" ht="15" customHeight="1">
      <c r="A911" s="7" t="str">
        <f>"柳帅男"</f>
        <v>柳帅男</v>
      </c>
      <c r="B911" s="7">
        <v>20193102</v>
      </c>
      <c r="C911" s="7" t="s">
        <v>4</v>
      </c>
      <c r="D911" s="7">
        <v>53</v>
      </c>
      <c r="E911" s="6">
        <v>53</v>
      </c>
      <c r="F911" s="5">
        <f t="shared" si="20"/>
        <v>37</v>
      </c>
      <c r="G911" s="7"/>
    </row>
    <row r="912" spans="1:7" ht="15" customHeight="1">
      <c r="A912" s="7" t="str">
        <f>"钱高展"</f>
        <v>钱高展</v>
      </c>
      <c r="B912" s="7">
        <v>20193125</v>
      </c>
      <c r="C912" s="7" t="s">
        <v>4</v>
      </c>
      <c r="D912" s="7">
        <v>52.5</v>
      </c>
      <c r="E912" s="6">
        <v>52.5</v>
      </c>
      <c r="F912" s="5">
        <f t="shared" si="20"/>
        <v>38</v>
      </c>
      <c r="G912" s="7"/>
    </row>
    <row r="913" spans="1:7" ht="15" customHeight="1">
      <c r="A913" s="7" t="str">
        <f>"冯珍"</f>
        <v>冯珍</v>
      </c>
      <c r="B913" s="7">
        <v>20193029</v>
      </c>
      <c r="C913" s="7" t="s">
        <v>4</v>
      </c>
      <c r="D913" s="7">
        <v>52</v>
      </c>
      <c r="E913" s="6">
        <v>52</v>
      </c>
      <c r="F913" s="5">
        <f t="shared" si="20"/>
        <v>39</v>
      </c>
      <c r="G913" s="7"/>
    </row>
    <row r="914" spans="1:7" ht="15" customHeight="1">
      <c r="A914" s="7" t="str">
        <f>"张静"</f>
        <v>张静</v>
      </c>
      <c r="B914" s="7">
        <v>20193213</v>
      </c>
      <c r="C914" s="7" t="s">
        <v>4</v>
      </c>
      <c r="D914" s="7">
        <v>52</v>
      </c>
      <c r="E914" s="6">
        <v>52</v>
      </c>
      <c r="F914" s="5">
        <f t="shared" si="20"/>
        <v>39</v>
      </c>
      <c r="G914" s="7"/>
    </row>
    <row r="915" spans="1:7" ht="15" customHeight="1">
      <c r="A915" s="7" t="str">
        <f>"马镯"</f>
        <v>马镯</v>
      </c>
      <c r="B915" s="7">
        <v>20193217</v>
      </c>
      <c r="C915" s="7" t="s">
        <v>4</v>
      </c>
      <c r="D915" s="7">
        <v>52</v>
      </c>
      <c r="E915" s="6">
        <v>52</v>
      </c>
      <c r="F915" s="5">
        <f t="shared" si="20"/>
        <v>39</v>
      </c>
      <c r="G915" s="7"/>
    </row>
    <row r="916" spans="1:7" ht="15" customHeight="1">
      <c r="A916" s="7" t="str">
        <f>"马鑫"</f>
        <v>马鑫</v>
      </c>
      <c r="B916" s="7">
        <v>20193119</v>
      </c>
      <c r="C916" s="7" t="s">
        <v>4</v>
      </c>
      <c r="D916" s="7">
        <v>50.5</v>
      </c>
      <c r="E916" s="6">
        <v>50.5</v>
      </c>
      <c r="F916" s="5">
        <f t="shared" si="20"/>
        <v>42</v>
      </c>
      <c r="G916" s="7"/>
    </row>
    <row r="917" spans="1:7" ht="15" customHeight="1">
      <c r="A917" s="7" t="str">
        <f>"李静"</f>
        <v>李静</v>
      </c>
      <c r="B917" s="7">
        <v>20193218</v>
      </c>
      <c r="C917" s="7" t="s">
        <v>4</v>
      </c>
      <c r="D917" s="7">
        <v>49</v>
      </c>
      <c r="E917" s="6">
        <v>49</v>
      </c>
      <c r="F917" s="5">
        <f t="shared" si="20"/>
        <v>43</v>
      </c>
      <c r="G917" s="7"/>
    </row>
    <row r="918" spans="1:7" ht="15" customHeight="1">
      <c r="A918" s="7" t="str">
        <f>"许永君"</f>
        <v>许永君</v>
      </c>
      <c r="B918" s="7">
        <v>20193124</v>
      </c>
      <c r="C918" s="7" t="s">
        <v>4</v>
      </c>
      <c r="D918" s="7">
        <v>48</v>
      </c>
      <c r="E918" s="6">
        <v>48</v>
      </c>
      <c r="F918" s="5">
        <f t="shared" si="20"/>
        <v>44</v>
      </c>
      <c r="G918" s="7"/>
    </row>
    <row r="919" spans="1:7" ht="15" customHeight="1">
      <c r="A919" s="7" t="str">
        <f>"魏梦芝"</f>
        <v>魏梦芝</v>
      </c>
      <c r="B919" s="7">
        <v>20193212</v>
      </c>
      <c r="C919" s="7" t="s">
        <v>4</v>
      </c>
      <c r="D919" s="7">
        <v>47.5</v>
      </c>
      <c r="E919" s="6">
        <v>47.5</v>
      </c>
      <c r="F919" s="5">
        <f t="shared" si="20"/>
        <v>45</v>
      </c>
      <c r="G919" s="7"/>
    </row>
    <row r="920" spans="1:7" ht="15" customHeight="1">
      <c r="A920" s="7" t="str">
        <f>"乔娟"</f>
        <v>乔娟</v>
      </c>
      <c r="B920" s="7">
        <v>20193207</v>
      </c>
      <c r="C920" s="7" t="s">
        <v>4</v>
      </c>
      <c r="D920" s="7">
        <v>47</v>
      </c>
      <c r="E920" s="6">
        <v>47</v>
      </c>
      <c r="F920" s="5">
        <f t="shared" si="20"/>
        <v>46</v>
      </c>
      <c r="G920" s="7"/>
    </row>
    <row r="921" spans="1:7" ht="15" customHeight="1">
      <c r="A921" s="7" t="str">
        <f>"程亚南"</f>
        <v>程亚南</v>
      </c>
      <c r="B921" s="7">
        <v>20193215</v>
      </c>
      <c r="C921" s="7" t="s">
        <v>4</v>
      </c>
      <c r="D921" s="7">
        <v>47</v>
      </c>
      <c r="E921" s="6">
        <v>47</v>
      </c>
      <c r="F921" s="5">
        <f t="shared" si="20"/>
        <v>46</v>
      </c>
      <c r="G921" s="7"/>
    </row>
    <row r="922" spans="1:7" ht="15" customHeight="1">
      <c r="A922" s="7" t="str">
        <f>"王丹妮"</f>
        <v>王丹妮</v>
      </c>
      <c r="B922" s="7">
        <v>20193211</v>
      </c>
      <c r="C922" s="7" t="s">
        <v>4</v>
      </c>
      <c r="D922" s="7">
        <v>42.5</v>
      </c>
      <c r="E922" s="6">
        <v>42.5</v>
      </c>
      <c r="F922" s="5">
        <f t="shared" si="20"/>
        <v>48</v>
      </c>
      <c r="G922" s="7"/>
    </row>
    <row r="923" spans="1:7" ht="15" customHeight="1">
      <c r="A923" s="7" t="str">
        <f>"梁荣秋"</f>
        <v>梁荣秋</v>
      </c>
      <c r="B923" s="7">
        <v>20193115</v>
      </c>
      <c r="C923" s="7" t="s">
        <v>4</v>
      </c>
      <c r="D923" s="7">
        <v>40</v>
      </c>
      <c r="E923" s="6">
        <v>40</v>
      </c>
      <c r="F923" s="5">
        <f t="shared" si="20"/>
        <v>49</v>
      </c>
      <c r="G923" s="7"/>
    </row>
    <row r="924" spans="1:7" ht="15" customHeight="1">
      <c r="A924" s="7" t="str">
        <f>"李晴"</f>
        <v>李晴</v>
      </c>
      <c r="B924" s="7">
        <v>20193201</v>
      </c>
      <c r="C924" s="7" t="s">
        <v>4</v>
      </c>
      <c r="D924" s="7">
        <v>40</v>
      </c>
      <c r="E924" s="6">
        <v>40</v>
      </c>
      <c r="F924" s="5">
        <f t="shared" si="20"/>
        <v>49</v>
      </c>
      <c r="G924" s="7"/>
    </row>
    <row r="925" spans="1:7" ht="15" customHeight="1">
      <c r="A925" s="7" t="str">
        <f>"马敬"</f>
        <v>马敬</v>
      </c>
      <c r="B925" s="7">
        <v>20193118</v>
      </c>
      <c r="C925" s="7" t="s">
        <v>4</v>
      </c>
      <c r="D925" s="7">
        <v>0</v>
      </c>
      <c r="E925" s="6">
        <v>0</v>
      </c>
      <c r="F925" s="5"/>
      <c r="G925" s="4" t="s">
        <v>0</v>
      </c>
    </row>
    <row r="926" spans="1:7" ht="15" customHeight="1">
      <c r="A926" s="11" t="str">
        <f>"李月"</f>
        <v>李月</v>
      </c>
      <c r="B926" s="11">
        <v>20193219</v>
      </c>
      <c r="C926" s="11" t="s">
        <v>4</v>
      </c>
      <c r="D926" s="11">
        <v>0</v>
      </c>
      <c r="E926" s="10">
        <v>0</v>
      </c>
      <c r="F926" s="9"/>
      <c r="G926" s="11" t="s">
        <v>3</v>
      </c>
    </row>
    <row r="927" spans="1:7" ht="15" customHeight="1">
      <c r="A927" s="7" t="str">
        <f>"郑一帆"</f>
        <v>郑一帆</v>
      </c>
      <c r="B927" s="7">
        <v>20193313</v>
      </c>
      <c r="C927" s="7" t="s">
        <v>2</v>
      </c>
      <c r="D927" s="7">
        <v>80</v>
      </c>
      <c r="E927" s="6">
        <v>80</v>
      </c>
      <c r="F927" s="5">
        <f t="shared" ref="F927:F953" si="21">_xlfn.RANK.EQ(E927,$E$927:$E$953)</f>
        <v>1</v>
      </c>
      <c r="G927" s="7"/>
    </row>
    <row r="928" spans="1:7" ht="15" customHeight="1">
      <c r="A928" s="7" t="str">
        <f>"马清玥"</f>
        <v>马清玥</v>
      </c>
      <c r="B928" s="7">
        <v>20193303</v>
      </c>
      <c r="C928" s="7" t="s">
        <v>2</v>
      </c>
      <c r="D928" s="7">
        <v>78</v>
      </c>
      <c r="E928" s="6">
        <v>78</v>
      </c>
      <c r="F928" s="5">
        <f t="shared" si="21"/>
        <v>2</v>
      </c>
      <c r="G928" s="7"/>
    </row>
    <row r="929" spans="1:7" ht="15" customHeight="1">
      <c r="A929" s="7" t="str">
        <f>"张静"</f>
        <v>张静</v>
      </c>
      <c r="B929" s="7">
        <v>20193304</v>
      </c>
      <c r="C929" s="7" t="s">
        <v>2</v>
      </c>
      <c r="D929" s="7">
        <v>77</v>
      </c>
      <c r="E929" s="6">
        <v>77</v>
      </c>
      <c r="F929" s="5">
        <f t="shared" si="21"/>
        <v>3</v>
      </c>
      <c r="G929" s="7"/>
    </row>
    <row r="930" spans="1:7" ht="15" customHeight="1">
      <c r="A930" s="7" t="str">
        <f>"吕京"</f>
        <v>吕京</v>
      </c>
      <c r="B930" s="7">
        <v>20193228</v>
      </c>
      <c r="C930" s="7" t="s">
        <v>2</v>
      </c>
      <c r="D930" s="7">
        <v>68.5</v>
      </c>
      <c r="E930" s="6">
        <v>68.5</v>
      </c>
      <c r="F930" s="5">
        <f t="shared" si="21"/>
        <v>4</v>
      </c>
      <c r="G930" s="7"/>
    </row>
    <row r="931" spans="1:7" ht="15" customHeight="1">
      <c r="A931" s="7" t="str">
        <f>"张梅雪"</f>
        <v>张梅雪</v>
      </c>
      <c r="B931" s="7">
        <v>20193316</v>
      </c>
      <c r="C931" s="7" t="s">
        <v>2</v>
      </c>
      <c r="D931" s="7">
        <v>67.5</v>
      </c>
      <c r="E931" s="6">
        <v>67.5</v>
      </c>
      <c r="F931" s="5">
        <f t="shared" si="21"/>
        <v>5</v>
      </c>
      <c r="G931" s="7"/>
    </row>
    <row r="932" spans="1:7" ht="15" customHeight="1">
      <c r="A932" s="7" t="str">
        <f>"单艳丽"</f>
        <v>单艳丽</v>
      </c>
      <c r="B932" s="7">
        <v>20193223</v>
      </c>
      <c r="C932" s="7" t="s">
        <v>2</v>
      </c>
      <c r="D932" s="7">
        <v>64</v>
      </c>
      <c r="E932" s="6">
        <v>64</v>
      </c>
      <c r="F932" s="5">
        <f t="shared" si="21"/>
        <v>6</v>
      </c>
      <c r="G932" s="7"/>
    </row>
    <row r="933" spans="1:7" ht="15" customHeight="1">
      <c r="A933" s="7" t="str">
        <f>"韩志良"</f>
        <v>韩志良</v>
      </c>
      <c r="B933" s="7">
        <v>20193222</v>
      </c>
      <c r="C933" s="7" t="s">
        <v>2</v>
      </c>
      <c r="D933" s="7">
        <v>62.5</v>
      </c>
      <c r="E933" s="6">
        <v>62.5</v>
      </c>
      <c r="F933" s="5">
        <f t="shared" si="21"/>
        <v>7</v>
      </c>
      <c r="G933" s="7"/>
    </row>
    <row r="934" spans="1:7" ht="15" customHeight="1">
      <c r="A934" s="7" t="str">
        <f>"董营"</f>
        <v>董营</v>
      </c>
      <c r="B934" s="7">
        <v>20193226</v>
      </c>
      <c r="C934" s="7" t="s">
        <v>2</v>
      </c>
      <c r="D934" s="7">
        <v>62</v>
      </c>
      <c r="E934" s="6">
        <v>62</v>
      </c>
      <c r="F934" s="5">
        <f t="shared" si="21"/>
        <v>8</v>
      </c>
      <c r="G934" s="7"/>
    </row>
    <row r="935" spans="1:7" ht="15" customHeight="1">
      <c r="A935" s="7" t="str">
        <f>"周宾"</f>
        <v>周宾</v>
      </c>
      <c r="B935" s="7">
        <v>20193227</v>
      </c>
      <c r="C935" s="7" t="s">
        <v>2</v>
      </c>
      <c r="D935" s="7">
        <v>61.5</v>
      </c>
      <c r="E935" s="6">
        <v>61.5</v>
      </c>
      <c r="F935" s="5">
        <f t="shared" si="21"/>
        <v>9</v>
      </c>
      <c r="G935" s="7"/>
    </row>
    <row r="936" spans="1:7" ht="15" customHeight="1">
      <c r="A936" s="7" t="str">
        <f>"黄伟伟"</f>
        <v>黄伟伟</v>
      </c>
      <c r="B936" s="7">
        <v>20193308</v>
      </c>
      <c r="C936" s="7" t="s">
        <v>2</v>
      </c>
      <c r="D936" s="7">
        <v>60.5</v>
      </c>
      <c r="E936" s="6">
        <v>60.5</v>
      </c>
      <c r="F936" s="5">
        <f t="shared" si="21"/>
        <v>10</v>
      </c>
      <c r="G936" s="7"/>
    </row>
    <row r="937" spans="1:7" ht="15" customHeight="1">
      <c r="A937" s="7" t="str">
        <f>"田宇"</f>
        <v>田宇</v>
      </c>
      <c r="B937" s="7">
        <v>20193312</v>
      </c>
      <c r="C937" s="7" t="s">
        <v>2</v>
      </c>
      <c r="D937" s="7">
        <v>60.5</v>
      </c>
      <c r="E937" s="6">
        <v>60.5</v>
      </c>
      <c r="F937" s="5">
        <f t="shared" si="21"/>
        <v>10</v>
      </c>
      <c r="G937" s="7"/>
    </row>
    <row r="938" spans="1:7" ht="15" customHeight="1">
      <c r="A938" s="7" t="str">
        <f>"魏博"</f>
        <v>魏博</v>
      </c>
      <c r="B938" s="7">
        <v>20193230</v>
      </c>
      <c r="C938" s="7" t="s">
        <v>2</v>
      </c>
      <c r="D938" s="7">
        <v>59.5</v>
      </c>
      <c r="E938" s="6">
        <v>59.5</v>
      </c>
      <c r="F938" s="5">
        <f t="shared" si="21"/>
        <v>12</v>
      </c>
      <c r="G938" s="7"/>
    </row>
    <row r="939" spans="1:7" ht="15" customHeight="1">
      <c r="A939" s="7" t="str">
        <f>"宋瑞晓"</f>
        <v>宋瑞晓</v>
      </c>
      <c r="B939" s="7">
        <v>20193314</v>
      </c>
      <c r="C939" s="7" t="s">
        <v>2</v>
      </c>
      <c r="D939" s="7">
        <v>58.5</v>
      </c>
      <c r="E939" s="6">
        <v>58.5</v>
      </c>
      <c r="F939" s="5">
        <f t="shared" si="21"/>
        <v>13</v>
      </c>
      <c r="G939" s="7"/>
    </row>
    <row r="940" spans="1:7" ht="15" customHeight="1">
      <c r="A940" s="7" t="str">
        <f>"蔡森"</f>
        <v>蔡森</v>
      </c>
      <c r="B940" s="7">
        <v>20193320</v>
      </c>
      <c r="C940" s="7" t="s">
        <v>2</v>
      </c>
      <c r="D940" s="7">
        <v>57.5</v>
      </c>
      <c r="E940" s="6">
        <v>57.5</v>
      </c>
      <c r="F940" s="5">
        <f t="shared" si="21"/>
        <v>14</v>
      </c>
      <c r="G940" s="7"/>
    </row>
    <row r="941" spans="1:7" ht="15" customHeight="1">
      <c r="A941" s="7" t="str">
        <f>"贾海博"</f>
        <v>贾海博</v>
      </c>
      <c r="B941" s="7">
        <v>20193310</v>
      </c>
      <c r="C941" s="7" t="s">
        <v>2</v>
      </c>
      <c r="D941" s="7">
        <v>57</v>
      </c>
      <c r="E941" s="6">
        <v>57</v>
      </c>
      <c r="F941" s="5">
        <f t="shared" si="21"/>
        <v>15</v>
      </c>
      <c r="G941" s="7"/>
    </row>
    <row r="942" spans="1:7" ht="15" customHeight="1">
      <c r="A942" s="11" t="str">
        <f>"张凌峰"</f>
        <v>张凌峰</v>
      </c>
      <c r="B942" s="11">
        <v>20193315</v>
      </c>
      <c r="C942" s="11" t="s">
        <v>2</v>
      </c>
      <c r="D942" s="11">
        <v>57</v>
      </c>
      <c r="E942" s="10">
        <v>57</v>
      </c>
      <c r="F942" s="5">
        <f t="shared" si="21"/>
        <v>15</v>
      </c>
      <c r="G942" s="11"/>
    </row>
    <row r="943" spans="1:7" ht="15" customHeight="1">
      <c r="A943" s="7" t="str">
        <f>"蔡蕾"</f>
        <v>蔡蕾</v>
      </c>
      <c r="B943" s="7">
        <v>20193229</v>
      </c>
      <c r="C943" s="7" t="s">
        <v>2</v>
      </c>
      <c r="D943" s="7">
        <v>56.5</v>
      </c>
      <c r="E943" s="6">
        <v>56.5</v>
      </c>
      <c r="F943" s="5">
        <f t="shared" si="21"/>
        <v>17</v>
      </c>
      <c r="G943" s="7"/>
    </row>
    <row r="944" spans="1:7" ht="15" customHeight="1">
      <c r="A944" s="7" t="str">
        <f>"陈莉"</f>
        <v>陈莉</v>
      </c>
      <c r="B944" s="7">
        <v>20193302</v>
      </c>
      <c r="C944" s="7" t="s">
        <v>2</v>
      </c>
      <c r="D944" s="7">
        <v>56.5</v>
      </c>
      <c r="E944" s="6">
        <v>56.5</v>
      </c>
      <c r="F944" s="5">
        <f t="shared" si="21"/>
        <v>17</v>
      </c>
      <c r="G944" s="7"/>
    </row>
    <row r="945" spans="1:7" ht="15" customHeight="1">
      <c r="A945" s="7" t="str">
        <f>"郭彦丽"</f>
        <v>郭彦丽</v>
      </c>
      <c r="B945" s="7">
        <v>20193317</v>
      </c>
      <c r="C945" s="7" t="s">
        <v>2</v>
      </c>
      <c r="D945" s="7">
        <v>56</v>
      </c>
      <c r="E945" s="6">
        <v>56</v>
      </c>
      <c r="F945" s="5">
        <f t="shared" si="21"/>
        <v>19</v>
      </c>
      <c r="G945" s="7"/>
    </row>
    <row r="946" spans="1:7" ht="15" customHeight="1">
      <c r="A946" s="7" t="str">
        <f>"赵伊帆"</f>
        <v>赵伊帆</v>
      </c>
      <c r="B946" s="7">
        <v>20193221</v>
      </c>
      <c r="C946" s="7" t="s">
        <v>2</v>
      </c>
      <c r="D946" s="7">
        <v>55</v>
      </c>
      <c r="E946" s="6">
        <v>55</v>
      </c>
      <c r="F946" s="5">
        <f t="shared" si="21"/>
        <v>20</v>
      </c>
      <c r="G946" s="7"/>
    </row>
    <row r="947" spans="1:7" ht="15" customHeight="1">
      <c r="A947" s="7" t="str">
        <f>"鲁美含"</f>
        <v>鲁美含</v>
      </c>
      <c r="B947" s="7">
        <v>20193307</v>
      </c>
      <c r="C947" s="7" t="s">
        <v>2</v>
      </c>
      <c r="D947" s="7">
        <v>52</v>
      </c>
      <c r="E947" s="6">
        <v>52</v>
      </c>
      <c r="F947" s="5">
        <f t="shared" si="21"/>
        <v>21</v>
      </c>
      <c r="G947" s="7"/>
    </row>
    <row r="948" spans="1:7" ht="15" customHeight="1">
      <c r="A948" s="7" t="str">
        <f>"齐丹妮"</f>
        <v>齐丹妮</v>
      </c>
      <c r="B948" s="7">
        <v>20193301</v>
      </c>
      <c r="C948" s="7" t="s">
        <v>2</v>
      </c>
      <c r="D948" s="7">
        <v>51</v>
      </c>
      <c r="E948" s="6">
        <v>51</v>
      </c>
      <c r="F948" s="5">
        <f t="shared" si="21"/>
        <v>22</v>
      </c>
      <c r="G948" s="7"/>
    </row>
    <row r="949" spans="1:7" ht="15" customHeight="1">
      <c r="A949" s="7" t="str">
        <f>"黄佳琦"</f>
        <v>黄佳琦</v>
      </c>
      <c r="B949" s="7">
        <v>20193224</v>
      </c>
      <c r="C949" s="7" t="s">
        <v>2</v>
      </c>
      <c r="D949" s="7">
        <v>50</v>
      </c>
      <c r="E949" s="6">
        <v>50</v>
      </c>
      <c r="F949" s="5">
        <f t="shared" si="21"/>
        <v>23</v>
      </c>
      <c r="G949" s="7"/>
    </row>
    <row r="950" spans="1:7" ht="15" customHeight="1">
      <c r="A950" s="7" t="str">
        <f>"史雪蕾"</f>
        <v>史雪蕾</v>
      </c>
      <c r="B950" s="7">
        <v>20193225</v>
      </c>
      <c r="C950" s="7" t="s">
        <v>2</v>
      </c>
      <c r="D950" s="7">
        <v>49</v>
      </c>
      <c r="E950" s="6">
        <v>49</v>
      </c>
      <c r="F950" s="5">
        <f t="shared" si="21"/>
        <v>24</v>
      </c>
      <c r="G950" s="7"/>
    </row>
    <row r="951" spans="1:7" ht="15" customHeight="1">
      <c r="A951" s="7" t="str">
        <f>"赵祖玺"</f>
        <v>赵祖玺</v>
      </c>
      <c r="B951" s="7">
        <v>20193306</v>
      </c>
      <c r="C951" s="7" t="s">
        <v>2</v>
      </c>
      <c r="D951" s="7">
        <v>47</v>
      </c>
      <c r="E951" s="6">
        <v>47</v>
      </c>
      <c r="F951" s="5">
        <f t="shared" si="21"/>
        <v>25</v>
      </c>
      <c r="G951" s="7"/>
    </row>
    <row r="952" spans="1:7" ht="15" customHeight="1">
      <c r="A952" s="7" t="str">
        <f>"刘卓"</f>
        <v>刘卓</v>
      </c>
      <c r="B952" s="7">
        <v>20193309</v>
      </c>
      <c r="C952" s="7" t="s">
        <v>2</v>
      </c>
      <c r="D952" s="7">
        <v>45.5</v>
      </c>
      <c r="E952" s="6">
        <v>45.5</v>
      </c>
      <c r="F952" s="5">
        <f t="shared" si="21"/>
        <v>26</v>
      </c>
      <c r="G952" s="7"/>
    </row>
    <row r="953" spans="1:7" ht="15" customHeight="1">
      <c r="A953" s="7" t="str">
        <f>"程传舵"</f>
        <v>程传舵</v>
      </c>
      <c r="B953" s="7">
        <v>20193311</v>
      </c>
      <c r="C953" s="7" t="s">
        <v>2</v>
      </c>
      <c r="D953" s="7">
        <v>37</v>
      </c>
      <c r="E953" s="6">
        <v>37</v>
      </c>
      <c r="F953" s="5">
        <f t="shared" si="21"/>
        <v>27</v>
      </c>
      <c r="G953" s="7"/>
    </row>
    <row r="954" spans="1:7" ht="15" customHeight="1">
      <c r="A954" s="7" t="str">
        <f>"王露露"</f>
        <v>王露露</v>
      </c>
      <c r="B954" s="7">
        <v>20193305</v>
      </c>
      <c r="C954" s="7" t="s">
        <v>2</v>
      </c>
      <c r="D954" s="7">
        <v>0</v>
      </c>
      <c r="E954" s="6">
        <v>0</v>
      </c>
      <c r="F954" s="5"/>
      <c r="G954" s="4" t="s">
        <v>0</v>
      </c>
    </row>
    <row r="955" spans="1:7" ht="15" customHeight="1">
      <c r="A955" s="11" t="str">
        <f>"鲁兆卓"</f>
        <v>鲁兆卓</v>
      </c>
      <c r="B955" s="11">
        <v>20193318</v>
      </c>
      <c r="C955" s="11" t="s">
        <v>2</v>
      </c>
      <c r="D955" s="11">
        <v>0</v>
      </c>
      <c r="E955" s="10">
        <v>0</v>
      </c>
      <c r="F955" s="9"/>
      <c r="G955" s="8" t="s">
        <v>0</v>
      </c>
    </row>
    <row r="956" spans="1:7" ht="15" customHeight="1">
      <c r="A956" s="7" t="str">
        <f>"朱明雨"</f>
        <v>朱明雨</v>
      </c>
      <c r="B956" s="7">
        <v>20193325</v>
      </c>
      <c r="C956" s="7" t="s">
        <v>1</v>
      </c>
      <c r="D956" s="7">
        <v>71</v>
      </c>
      <c r="E956" s="6">
        <v>71</v>
      </c>
      <c r="F956" s="5">
        <v>1</v>
      </c>
      <c r="G956" s="7"/>
    </row>
    <row r="957" spans="1:7" ht="15" customHeight="1">
      <c r="A957" s="7" t="str">
        <f>"杜培"</f>
        <v>杜培</v>
      </c>
      <c r="B957" s="7">
        <v>20193323</v>
      </c>
      <c r="C957" s="7" t="s">
        <v>1</v>
      </c>
      <c r="D957" s="7">
        <v>65</v>
      </c>
      <c r="E957" s="6">
        <v>65</v>
      </c>
      <c r="F957" s="5">
        <v>2</v>
      </c>
      <c r="G957" s="7"/>
    </row>
    <row r="958" spans="1:7" ht="15" customHeight="1">
      <c r="A958" s="7" t="str">
        <f>"邹瑞雪"</f>
        <v>邹瑞雪</v>
      </c>
      <c r="B958" s="7">
        <v>20193326</v>
      </c>
      <c r="C958" s="7" t="s">
        <v>1</v>
      </c>
      <c r="D958" s="7">
        <v>62.5</v>
      </c>
      <c r="E958" s="6">
        <v>62.5</v>
      </c>
      <c r="F958" s="5">
        <v>3</v>
      </c>
      <c r="G958" s="7"/>
    </row>
    <row r="959" spans="1:7" ht="15" customHeight="1">
      <c r="A959" s="7" t="str">
        <f>"孔德生"</f>
        <v>孔德生</v>
      </c>
      <c r="B959" s="7">
        <v>20193321</v>
      </c>
      <c r="C959" s="7" t="s">
        <v>1</v>
      </c>
      <c r="D959" s="7">
        <v>60</v>
      </c>
      <c r="E959" s="6">
        <v>60</v>
      </c>
      <c r="F959" s="5">
        <v>4</v>
      </c>
      <c r="G959" s="7"/>
    </row>
    <row r="960" spans="1:7" ht="15" customHeight="1">
      <c r="A960" s="7" t="str">
        <f>"吴晨"</f>
        <v>吴晨</v>
      </c>
      <c r="B960" s="7">
        <v>20193324</v>
      </c>
      <c r="C960" s="7" t="s">
        <v>1</v>
      </c>
      <c r="D960" s="7">
        <v>56.5</v>
      </c>
      <c r="E960" s="6">
        <v>56.5</v>
      </c>
      <c r="F960" s="5">
        <v>5</v>
      </c>
      <c r="G960" s="7"/>
    </row>
    <row r="961" spans="1:7" ht="15" customHeight="1">
      <c r="A961" s="7" t="str">
        <f>"薛文志"</f>
        <v>薛文志</v>
      </c>
      <c r="B961" s="7">
        <v>20193319</v>
      </c>
      <c r="C961" s="7" t="s">
        <v>1</v>
      </c>
      <c r="D961" s="7">
        <v>54.5</v>
      </c>
      <c r="E961" s="6">
        <v>54.5</v>
      </c>
      <c r="F961" s="5">
        <v>6</v>
      </c>
      <c r="G961" s="7"/>
    </row>
    <row r="962" spans="1:7" ht="15" customHeight="1">
      <c r="A962" s="7" t="str">
        <f>"赵燚"</f>
        <v>赵燚</v>
      </c>
      <c r="B962" s="7">
        <v>20193327</v>
      </c>
      <c r="C962" s="7" t="s">
        <v>1</v>
      </c>
      <c r="D962" s="7">
        <v>52.5</v>
      </c>
      <c r="E962" s="6">
        <v>52.5</v>
      </c>
      <c r="F962" s="5">
        <v>7</v>
      </c>
      <c r="G962" s="7"/>
    </row>
    <row r="963" spans="1:7" ht="15" customHeight="1">
      <c r="A963" s="7" t="str">
        <f>"熊祎娜"</f>
        <v>熊祎娜</v>
      </c>
      <c r="B963" s="7">
        <v>20193322</v>
      </c>
      <c r="C963" s="7" t="s">
        <v>1</v>
      </c>
      <c r="D963" s="7">
        <v>51.5</v>
      </c>
      <c r="E963" s="6">
        <v>51.5</v>
      </c>
      <c r="F963" s="5">
        <v>8</v>
      </c>
      <c r="G963" s="7"/>
    </row>
    <row r="964" spans="1:7" ht="15" customHeight="1">
      <c r="A964" s="7" t="str">
        <f>"陈映雪"</f>
        <v>陈映雪</v>
      </c>
      <c r="B964" s="7">
        <v>20193328</v>
      </c>
      <c r="C964" s="7" t="s">
        <v>1</v>
      </c>
      <c r="D964" s="7">
        <v>0</v>
      </c>
      <c r="E964" s="6">
        <v>0</v>
      </c>
      <c r="F964" s="5"/>
      <c r="G964" s="4" t="s">
        <v>0</v>
      </c>
    </row>
  </sheetData>
  <autoFilter ref="A1:G964">
    <sortState ref="A2:G964">
      <sortCondition ref="C2:C964"/>
      <sortCondition ref="F2:F964"/>
    </sortState>
  </autoFilter>
  <phoneticPr fontId="1" type="noConversion"/>
  <printOptions horizontalCentered="1"/>
  <pageMargins left="0.70866141732283472" right="0.70866141732283472" top="0.35433070866141736" bottom="0.55118110236220474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96"/>
  <sheetViews>
    <sheetView tabSelected="1" view="pageBreakPreview" topLeftCell="A271" zoomScaleNormal="100" zoomScaleSheetLayoutView="100" workbookViewId="0">
      <selection activeCell="G13" sqref="G13"/>
    </sheetView>
  </sheetViews>
  <sheetFormatPr defaultColWidth="9" defaultRowHeight="15.6"/>
  <cols>
    <col min="1" max="4" width="20" style="20" customWidth="1"/>
    <col min="5" max="16384" width="9" style="1"/>
  </cols>
  <sheetData>
    <row r="1" spans="1:4" ht="13.5" customHeight="1">
      <c r="A1" s="27" t="s">
        <v>255</v>
      </c>
    </row>
    <row r="2" spans="1:4" s="26" customFormat="1" ht="28.2" customHeight="1">
      <c r="A2" s="28" t="s">
        <v>254</v>
      </c>
      <c r="B2" s="28"/>
      <c r="C2" s="28"/>
      <c r="D2" s="28"/>
    </row>
    <row r="3" spans="1:4" s="21" customFormat="1" ht="15" customHeight="1">
      <c r="A3" s="22" t="s">
        <v>28</v>
      </c>
      <c r="B3" s="22" t="s">
        <v>27</v>
      </c>
      <c r="C3" s="22" t="s">
        <v>26</v>
      </c>
      <c r="D3" s="22" t="s">
        <v>24</v>
      </c>
    </row>
    <row r="4" spans="1:4" ht="15" customHeight="1">
      <c r="A4" s="23" t="str">
        <f>"张会"</f>
        <v>张会</v>
      </c>
      <c r="B4" s="23">
        <v>20190104</v>
      </c>
      <c r="C4" s="23" t="s">
        <v>23</v>
      </c>
      <c r="D4" s="23"/>
    </row>
    <row r="5" spans="1:4" ht="15" customHeight="1">
      <c r="A5" s="23" t="str">
        <f>"林倩"</f>
        <v>林倩</v>
      </c>
      <c r="B5" s="23">
        <v>20190105</v>
      </c>
      <c r="C5" s="23" t="s">
        <v>23</v>
      </c>
      <c r="D5" s="23"/>
    </row>
    <row r="6" spans="1:4" ht="15" customHeight="1">
      <c r="A6" s="23" t="str">
        <f>"李雪"</f>
        <v>李雪</v>
      </c>
      <c r="B6" s="23">
        <v>20190107</v>
      </c>
      <c r="C6" s="23" t="s">
        <v>23</v>
      </c>
      <c r="D6" s="23"/>
    </row>
    <row r="7" spans="1:4" ht="15" customHeight="1">
      <c r="A7" s="23" t="str">
        <f>"刘莹"</f>
        <v>刘莹</v>
      </c>
      <c r="B7" s="23">
        <v>20190108</v>
      </c>
      <c r="C7" s="23" t="s">
        <v>23</v>
      </c>
      <c r="D7" s="23"/>
    </row>
    <row r="8" spans="1:4" ht="15" customHeight="1">
      <c r="A8" s="23" t="str">
        <f>"李鑫"</f>
        <v>李鑫</v>
      </c>
      <c r="B8" s="23">
        <v>20190109</v>
      </c>
      <c r="C8" s="23" t="s">
        <v>23</v>
      </c>
      <c r="D8" s="23"/>
    </row>
    <row r="9" spans="1:4" ht="15" customHeight="1">
      <c r="A9" s="23" t="str">
        <f>"史阅凡"</f>
        <v>史阅凡</v>
      </c>
      <c r="B9" s="23">
        <v>20190111</v>
      </c>
      <c r="C9" s="23" t="s">
        <v>23</v>
      </c>
      <c r="D9" s="23"/>
    </row>
    <row r="10" spans="1:4" ht="15" customHeight="1">
      <c r="A10" s="23" t="str">
        <f>"张满"</f>
        <v>张满</v>
      </c>
      <c r="B10" s="23">
        <v>20190120</v>
      </c>
      <c r="C10" s="23" t="s">
        <v>23</v>
      </c>
      <c r="D10" s="23"/>
    </row>
    <row r="11" spans="1:4" ht="15" customHeight="1">
      <c r="A11" s="23" t="str">
        <f>"杜芳芳"</f>
        <v>杜芳芳</v>
      </c>
      <c r="B11" s="23">
        <v>20190124</v>
      </c>
      <c r="C11" s="23" t="s">
        <v>22</v>
      </c>
      <c r="D11" s="23"/>
    </row>
    <row r="12" spans="1:4" ht="15" customHeight="1">
      <c r="A12" s="23" t="str">
        <f>"卢婷"</f>
        <v>卢婷</v>
      </c>
      <c r="B12" s="23">
        <v>20190125</v>
      </c>
      <c r="C12" s="23" t="s">
        <v>22</v>
      </c>
      <c r="D12" s="23"/>
    </row>
    <row r="13" spans="1:4" ht="15" customHeight="1">
      <c r="A13" s="23" t="str">
        <f>"孙鑫"</f>
        <v>孙鑫</v>
      </c>
      <c r="B13" s="23">
        <v>20190127</v>
      </c>
      <c r="C13" s="23" t="s">
        <v>22</v>
      </c>
      <c r="D13" s="23"/>
    </row>
    <row r="14" spans="1:4" ht="15" customHeight="1">
      <c r="A14" s="23" t="str">
        <f>"乔娟"</f>
        <v>乔娟</v>
      </c>
      <c r="B14" s="23">
        <v>20190128</v>
      </c>
      <c r="C14" s="23" t="s">
        <v>22</v>
      </c>
      <c r="D14" s="23"/>
    </row>
    <row r="15" spans="1:4" ht="15" customHeight="1">
      <c r="A15" s="23" t="str">
        <f>"宋亚丽"</f>
        <v>宋亚丽</v>
      </c>
      <c r="B15" s="23">
        <v>20190130</v>
      </c>
      <c r="C15" s="23" t="s">
        <v>22</v>
      </c>
      <c r="D15" s="23"/>
    </row>
    <row r="16" spans="1:4" ht="15" customHeight="1">
      <c r="A16" s="23" t="str">
        <f>"王梦莹"</f>
        <v>王梦莹</v>
      </c>
      <c r="B16" s="23">
        <v>20190206</v>
      </c>
      <c r="C16" s="23" t="s">
        <v>22</v>
      </c>
      <c r="D16" s="23"/>
    </row>
    <row r="17" spans="1:4" ht="15" customHeight="1">
      <c r="A17" s="23" t="str">
        <f>"罗晓"</f>
        <v>罗晓</v>
      </c>
      <c r="B17" s="23">
        <v>20190207</v>
      </c>
      <c r="C17" s="23" t="s">
        <v>22</v>
      </c>
      <c r="D17" s="23"/>
    </row>
    <row r="18" spans="1:4" ht="15" customHeight="1">
      <c r="A18" s="23" t="str">
        <f>"雷蕾"</f>
        <v>雷蕾</v>
      </c>
      <c r="B18" s="23">
        <v>20190208</v>
      </c>
      <c r="C18" s="23" t="s">
        <v>22</v>
      </c>
      <c r="D18" s="23"/>
    </row>
    <row r="19" spans="1:4" ht="15" customHeight="1">
      <c r="A19" s="23" t="str">
        <f>"王璘"</f>
        <v>王璘</v>
      </c>
      <c r="B19" s="23">
        <v>20190209</v>
      </c>
      <c r="C19" s="23" t="s">
        <v>22</v>
      </c>
      <c r="D19" s="23"/>
    </row>
    <row r="20" spans="1:4" ht="15" customHeight="1">
      <c r="A20" s="23" t="str">
        <f>"王阳"</f>
        <v>王阳</v>
      </c>
      <c r="B20" s="23">
        <v>20190216</v>
      </c>
      <c r="C20" s="23" t="s">
        <v>21</v>
      </c>
      <c r="D20" s="23"/>
    </row>
    <row r="21" spans="1:4" ht="15" customHeight="1">
      <c r="A21" s="23" t="str">
        <f>"齐若杉"</f>
        <v>齐若杉</v>
      </c>
      <c r="B21" s="23">
        <v>20190221</v>
      </c>
      <c r="C21" s="23" t="s">
        <v>21</v>
      </c>
      <c r="D21" s="23"/>
    </row>
    <row r="22" spans="1:4" ht="15" customHeight="1">
      <c r="A22" s="23" t="str">
        <f>"肖嫚"</f>
        <v>肖嫚</v>
      </c>
      <c r="B22" s="23">
        <v>20190225</v>
      </c>
      <c r="C22" s="23" t="s">
        <v>21</v>
      </c>
      <c r="D22" s="23"/>
    </row>
    <row r="23" spans="1:4" ht="15" customHeight="1">
      <c r="A23" s="23" t="str">
        <f>"高杰"</f>
        <v>高杰</v>
      </c>
      <c r="B23" s="23">
        <v>20190229</v>
      </c>
      <c r="C23" s="23" t="s">
        <v>21</v>
      </c>
      <c r="D23" s="23"/>
    </row>
    <row r="24" spans="1:4" ht="15" customHeight="1">
      <c r="A24" s="23" t="str">
        <f>"罗航航"</f>
        <v>罗航航</v>
      </c>
      <c r="B24" s="23">
        <v>20190309</v>
      </c>
      <c r="C24" s="23" t="s">
        <v>21</v>
      </c>
      <c r="D24" s="23"/>
    </row>
    <row r="25" spans="1:4" ht="15" customHeight="1">
      <c r="A25" s="23" t="str">
        <f>"裴爽爽"</f>
        <v>裴爽爽</v>
      </c>
      <c r="B25" s="23">
        <v>20190313</v>
      </c>
      <c r="C25" s="23" t="s">
        <v>21</v>
      </c>
      <c r="D25" s="23"/>
    </row>
    <row r="26" spans="1:4" ht="15" customHeight="1">
      <c r="A26" s="23" t="str">
        <f>"梅李慧"</f>
        <v>梅李慧</v>
      </c>
      <c r="B26" s="23">
        <v>20190318</v>
      </c>
      <c r="C26" s="23" t="s">
        <v>20</v>
      </c>
      <c r="D26" s="23"/>
    </row>
    <row r="27" spans="1:4" ht="15" customHeight="1">
      <c r="A27" s="23" t="str">
        <f>"吴小哲"</f>
        <v>吴小哲</v>
      </c>
      <c r="B27" s="23">
        <v>20190319</v>
      </c>
      <c r="C27" s="23" t="s">
        <v>20</v>
      </c>
      <c r="D27" s="23"/>
    </row>
    <row r="28" spans="1:4" ht="15" customHeight="1">
      <c r="A28" s="23" t="str">
        <f>"卢倩煜"</f>
        <v>卢倩煜</v>
      </c>
      <c r="B28" s="23">
        <v>20190321</v>
      </c>
      <c r="C28" s="23" t="s">
        <v>19</v>
      </c>
      <c r="D28" s="23"/>
    </row>
    <row r="29" spans="1:4" ht="15" customHeight="1">
      <c r="A29" s="23" t="str">
        <f>"郑真真"</f>
        <v>郑真真</v>
      </c>
      <c r="B29" s="23">
        <v>20190324</v>
      </c>
      <c r="C29" s="23" t="s">
        <v>19</v>
      </c>
      <c r="D29" s="23"/>
    </row>
    <row r="30" spans="1:4" ht="15" customHeight="1">
      <c r="A30" s="23" t="str">
        <f>"张迎"</f>
        <v>张迎</v>
      </c>
      <c r="B30" s="23">
        <v>20190325</v>
      </c>
      <c r="C30" s="23" t="s">
        <v>19</v>
      </c>
      <c r="D30" s="23"/>
    </row>
    <row r="31" spans="1:4" ht="15" customHeight="1">
      <c r="A31" s="23" t="str">
        <f>"钱逸明"</f>
        <v>钱逸明</v>
      </c>
      <c r="B31" s="23">
        <v>20190328</v>
      </c>
      <c r="C31" s="23" t="s">
        <v>18</v>
      </c>
      <c r="D31" s="23"/>
    </row>
    <row r="32" spans="1:4" ht="15" customHeight="1">
      <c r="A32" s="23" t="s">
        <v>129</v>
      </c>
      <c r="B32" s="23">
        <v>20190401</v>
      </c>
      <c r="C32" s="23" t="s">
        <v>18</v>
      </c>
      <c r="D32" s="24"/>
    </row>
    <row r="33" spans="1:4" ht="15" customHeight="1">
      <c r="A33" s="23" t="str">
        <f>"司念"</f>
        <v>司念</v>
      </c>
      <c r="B33" s="23">
        <v>20190406</v>
      </c>
      <c r="C33" s="23" t="s">
        <v>17</v>
      </c>
      <c r="D33" s="23"/>
    </row>
    <row r="34" spans="1:4" ht="15" customHeight="1">
      <c r="A34" s="23" t="str">
        <f>"马瑞婉"</f>
        <v>马瑞婉</v>
      </c>
      <c r="B34" s="23">
        <v>20190408</v>
      </c>
      <c r="C34" s="23" t="s">
        <v>17</v>
      </c>
      <c r="D34" s="23"/>
    </row>
    <row r="35" spans="1:4" ht="15" customHeight="1">
      <c r="A35" s="23" t="str">
        <f>"张楠"</f>
        <v>张楠</v>
      </c>
      <c r="B35" s="23">
        <v>20190409</v>
      </c>
      <c r="C35" s="23" t="s">
        <v>17</v>
      </c>
      <c r="D35" s="23"/>
    </row>
    <row r="36" spans="1:4" ht="15" customHeight="1">
      <c r="A36" s="23" t="str">
        <f>"李世平"</f>
        <v>李世平</v>
      </c>
      <c r="B36" s="23">
        <v>20190413</v>
      </c>
      <c r="C36" s="23" t="s">
        <v>16</v>
      </c>
      <c r="D36" s="23"/>
    </row>
    <row r="37" spans="1:4" ht="15" customHeight="1">
      <c r="A37" s="23" t="str">
        <f>"王晶"</f>
        <v>王晶</v>
      </c>
      <c r="B37" s="23">
        <v>20190502</v>
      </c>
      <c r="C37" s="23" t="s">
        <v>14</v>
      </c>
      <c r="D37" s="23"/>
    </row>
    <row r="38" spans="1:4" ht="15" customHeight="1">
      <c r="A38" s="23" t="str">
        <f>"杨雅楠"</f>
        <v>杨雅楠</v>
      </c>
      <c r="B38" s="23">
        <v>20190605</v>
      </c>
      <c r="C38" s="23" t="s">
        <v>14</v>
      </c>
      <c r="D38" s="23"/>
    </row>
    <row r="39" spans="1:4" ht="15" customHeight="1">
      <c r="A39" s="23" t="s">
        <v>132</v>
      </c>
      <c r="B39" s="23">
        <v>20190616</v>
      </c>
      <c r="C39" s="23" t="s">
        <v>14</v>
      </c>
      <c r="D39" s="24"/>
    </row>
    <row r="40" spans="1:4" ht="15" customHeight="1">
      <c r="A40" s="23" t="s">
        <v>130</v>
      </c>
      <c r="B40" s="23">
        <v>20190617</v>
      </c>
      <c r="C40" s="23" t="s">
        <v>14</v>
      </c>
      <c r="D40" s="24"/>
    </row>
    <row r="41" spans="1:4" ht="15" customHeight="1">
      <c r="A41" s="23" t="str">
        <f>"张可"</f>
        <v>张可</v>
      </c>
      <c r="B41" s="23">
        <v>20190622</v>
      </c>
      <c r="C41" s="23" t="s">
        <v>14</v>
      </c>
      <c r="D41" s="23"/>
    </row>
    <row r="42" spans="1:4" ht="15" customHeight="1">
      <c r="A42" s="23" t="str">
        <f>"江晓"</f>
        <v>江晓</v>
      </c>
      <c r="B42" s="23">
        <v>20190702</v>
      </c>
      <c r="C42" s="23" t="s">
        <v>14</v>
      </c>
      <c r="D42" s="23"/>
    </row>
    <row r="43" spans="1:4" ht="15" customHeight="1">
      <c r="A43" s="23" t="s">
        <v>131</v>
      </c>
      <c r="B43" s="23">
        <v>20190712</v>
      </c>
      <c r="C43" s="23" t="s">
        <v>14</v>
      </c>
      <c r="D43" s="24"/>
    </row>
    <row r="44" spans="1:4" ht="15" customHeight="1">
      <c r="A44" s="23" t="str">
        <f>"马云萍"</f>
        <v>马云萍</v>
      </c>
      <c r="B44" s="23">
        <v>20190718</v>
      </c>
      <c r="C44" s="23" t="s">
        <v>14</v>
      </c>
      <c r="D44" s="23"/>
    </row>
    <row r="45" spans="1:4" ht="15" customHeight="1">
      <c r="A45" s="23" t="str">
        <f>"陈阳阳"</f>
        <v>陈阳阳</v>
      </c>
      <c r="B45" s="23">
        <v>20190722</v>
      </c>
      <c r="C45" s="23" t="s">
        <v>14</v>
      </c>
      <c r="D45" s="23"/>
    </row>
    <row r="46" spans="1:4" ht="15" customHeight="1">
      <c r="A46" s="23" t="str">
        <f>"李莹"</f>
        <v>李莹</v>
      </c>
      <c r="B46" s="23">
        <v>20190814</v>
      </c>
      <c r="C46" s="23" t="s">
        <v>14</v>
      </c>
      <c r="D46" s="23"/>
    </row>
    <row r="47" spans="1:4" ht="15" customHeight="1">
      <c r="A47" s="23" t="str">
        <f>"刘雅倩"</f>
        <v>刘雅倩</v>
      </c>
      <c r="B47" s="23">
        <v>20190816</v>
      </c>
      <c r="C47" s="23" t="s">
        <v>14</v>
      </c>
      <c r="D47" s="23"/>
    </row>
    <row r="48" spans="1:4" ht="15" customHeight="1">
      <c r="A48" s="23" t="str">
        <f>"王义强"</f>
        <v>王义强</v>
      </c>
      <c r="B48" s="23">
        <v>20190819</v>
      </c>
      <c r="C48" s="23" t="s">
        <v>14</v>
      </c>
      <c r="D48" s="23"/>
    </row>
    <row r="49" spans="1:4" ht="15" customHeight="1">
      <c r="A49" s="23" t="str">
        <f>"曹品婷"</f>
        <v>曹品婷</v>
      </c>
      <c r="B49" s="23">
        <v>20190822</v>
      </c>
      <c r="C49" s="23" t="s">
        <v>14</v>
      </c>
      <c r="D49" s="23"/>
    </row>
    <row r="50" spans="1:4" ht="15" customHeight="1">
      <c r="A50" s="23" t="str">
        <f>"程静毅"</f>
        <v>程静毅</v>
      </c>
      <c r="B50" s="23">
        <v>20190916</v>
      </c>
      <c r="C50" s="23" t="s">
        <v>14</v>
      </c>
      <c r="D50" s="23"/>
    </row>
    <row r="51" spans="1:4" ht="15" customHeight="1">
      <c r="A51" s="23" t="str">
        <f>"王培颖"</f>
        <v>王培颖</v>
      </c>
      <c r="B51" s="23">
        <v>20190917</v>
      </c>
      <c r="C51" s="23" t="s">
        <v>14</v>
      </c>
      <c r="D51" s="23"/>
    </row>
    <row r="52" spans="1:4" ht="15" customHeight="1">
      <c r="A52" s="23" t="str">
        <f>"詹梦瑶"</f>
        <v>詹梦瑶</v>
      </c>
      <c r="B52" s="23">
        <v>20191002</v>
      </c>
      <c r="C52" s="23" t="s">
        <v>14</v>
      </c>
      <c r="D52" s="23"/>
    </row>
    <row r="53" spans="1:4" ht="15" customHeight="1">
      <c r="A53" s="23" t="str">
        <f>"陈玉珠"</f>
        <v>陈玉珠</v>
      </c>
      <c r="B53" s="23">
        <v>20191006</v>
      </c>
      <c r="C53" s="23" t="s">
        <v>14</v>
      </c>
      <c r="D53" s="23"/>
    </row>
    <row r="54" spans="1:4" ht="15" customHeight="1">
      <c r="A54" s="23" t="str">
        <f>"李朦迪"</f>
        <v>李朦迪</v>
      </c>
      <c r="B54" s="23">
        <v>20191016</v>
      </c>
      <c r="C54" s="23" t="s">
        <v>14</v>
      </c>
      <c r="D54" s="23"/>
    </row>
    <row r="55" spans="1:4" ht="15" customHeight="1">
      <c r="A55" s="23" t="str">
        <f>"段纯洁"</f>
        <v>段纯洁</v>
      </c>
      <c r="B55" s="23">
        <v>20191017</v>
      </c>
      <c r="C55" s="23" t="s">
        <v>14</v>
      </c>
      <c r="D55" s="23"/>
    </row>
    <row r="56" spans="1:4" ht="15" customHeight="1">
      <c r="A56" s="23" t="str">
        <f>"李姗"</f>
        <v>李姗</v>
      </c>
      <c r="B56" s="23">
        <v>20191123</v>
      </c>
      <c r="C56" s="23" t="s">
        <v>14</v>
      </c>
      <c r="D56" s="23"/>
    </row>
    <row r="57" spans="1:4" ht="15" customHeight="1">
      <c r="A57" s="23" t="str">
        <f>"陈婷"</f>
        <v>陈婷</v>
      </c>
      <c r="B57" s="23">
        <v>20191210</v>
      </c>
      <c r="C57" s="23" t="s">
        <v>13</v>
      </c>
      <c r="D57" s="23"/>
    </row>
    <row r="58" spans="1:4" ht="15" customHeight="1">
      <c r="A58" s="23" t="str">
        <f>"晋晓曈"</f>
        <v>晋晓曈</v>
      </c>
      <c r="B58" s="23">
        <v>20191220</v>
      </c>
      <c r="C58" s="23" t="s">
        <v>13</v>
      </c>
      <c r="D58" s="23"/>
    </row>
    <row r="59" spans="1:4" ht="15" customHeight="1">
      <c r="A59" s="23" t="str">
        <f>"孙丽莹"</f>
        <v>孙丽莹</v>
      </c>
      <c r="B59" s="23">
        <v>20191223</v>
      </c>
      <c r="C59" s="23" t="s">
        <v>13</v>
      </c>
      <c r="D59" s="23"/>
    </row>
    <row r="60" spans="1:4" ht="15" customHeight="1">
      <c r="A60" s="23" t="str">
        <f>"陈京丽"</f>
        <v>陈京丽</v>
      </c>
      <c r="B60" s="23">
        <v>20191228</v>
      </c>
      <c r="C60" s="23" t="s">
        <v>13</v>
      </c>
      <c r="D60" s="23"/>
    </row>
    <row r="61" spans="1:4" ht="15" customHeight="1">
      <c r="A61" s="23" t="str">
        <f>"徐曼"</f>
        <v>徐曼</v>
      </c>
      <c r="B61" s="23">
        <v>20191306</v>
      </c>
      <c r="C61" s="23" t="s">
        <v>13</v>
      </c>
      <c r="D61" s="23"/>
    </row>
    <row r="62" spans="1:4" ht="15" customHeight="1">
      <c r="A62" s="23" t="str">
        <f>"樊雅玲"</f>
        <v>樊雅玲</v>
      </c>
      <c r="B62" s="23">
        <v>20191314</v>
      </c>
      <c r="C62" s="23" t="s">
        <v>13</v>
      </c>
      <c r="D62" s="23"/>
    </row>
    <row r="63" spans="1:4" ht="15" customHeight="1">
      <c r="A63" s="23" t="str">
        <f>"段苏倩"</f>
        <v>段苏倩</v>
      </c>
      <c r="B63" s="23">
        <v>20191414</v>
      </c>
      <c r="C63" s="23" t="s">
        <v>13</v>
      </c>
      <c r="D63" s="23"/>
    </row>
    <row r="64" spans="1:4" ht="15" customHeight="1">
      <c r="A64" s="23" t="str">
        <f>"刘振华"</f>
        <v>刘振华</v>
      </c>
      <c r="B64" s="23">
        <v>20191509</v>
      </c>
      <c r="C64" s="23" t="s">
        <v>13</v>
      </c>
      <c r="D64" s="23"/>
    </row>
    <row r="65" spans="1:4" ht="15" customHeight="1">
      <c r="A65" s="23" t="str">
        <f>"宋雪玲"</f>
        <v>宋雪玲</v>
      </c>
      <c r="B65" s="23">
        <v>20191611</v>
      </c>
      <c r="C65" s="23" t="s">
        <v>13</v>
      </c>
      <c r="D65" s="23"/>
    </row>
    <row r="66" spans="1:4" ht="15" customHeight="1">
      <c r="A66" s="23" t="str">
        <f>"刘小宇"</f>
        <v>刘小宇</v>
      </c>
      <c r="B66" s="23">
        <v>20191616</v>
      </c>
      <c r="C66" s="23" t="s">
        <v>13</v>
      </c>
      <c r="D66" s="23"/>
    </row>
    <row r="67" spans="1:4" ht="15" customHeight="1">
      <c r="A67" s="23" t="str">
        <f>"归玉洁"</f>
        <v>归玉洁</v>
      </c>
      <c r="B67" s="23">
        <v>20191617</v>
      </c>
      <c r="C67" s="23" t="s">
        <v>13</v>
      </c>
      <c r="D67" s="23"/>
    </row>
    <row r="68" spans="1:4" ht="15" customHeight="1">
      <c r="A68" s="23" t="str">
        <f>"曹丝"</f>
        <v>曹丝</v>
      </c>
      <c r="B68" s="23">
        <v>20191702</v>
      </c>
      <c r="C68" s="23" t="s">
        <v>13</v>
      </c>
      <c r="D68" s="23"/>
    </row>
    <row r="69" spans="1:4" ht="15" customHeight="1">
      <c r="A69" s="23" t="s">
        <v>133</v>
      </c>
      <c r="B69" s="23">
        <v>20191718</v>
      </c>
      <c r="C69" s="23" t="s">
        <v>13</v>
      </c>
      <c r="D69" s="24"/>
    </row>
    <row r="70" spans="1:4" ht="15" customHeight="1">
      <c r="A70" s="23" t="str">
        <f>"张宁"</f>
        <v>张宁</v>
      </c>
      <c r="B70" s="23">
        <v>20191720</v>
      </c>
      <c r="C70" s="23" t="s">
        <v>13</v>
      </c>
      <c r="D70" s="23"/>
    </row>
    <row r="71" spans="1:4" ht="15" customHeight="1">
      <c r="A71" s="23" t="str">
        <f>"潘娜"</f>
        <v>潘娜</v>
      </c>
      <c r="B71" s="23">
        <v>20191812</v>
      </c>
      <c r="C71" s="23" t="s">
        <v>13</v>
      </c>
      <c r="D71" s="23"/>
    </row>
    <row r="72" spans="1:4" ht="15" customHeight="1">
      <c r="A72" s="23" t="str">
        <f>"田亚楠"</f>
        <v>田亚楠</v>
      </c>
      <c r="B72" s="23">
        <v>20191819</v>
      </c>
      <c r="C72" s="23" t="s">
        <v>13</v>
      </c>
      <c r="D72" s="23"/>
    </row>
    <row r="73" spans="1:4" ht="15" customHeight="1">
      <c r="A73" s="23" t="str">
        <f>"贺欣"</f>
        <v>贺欣</v>
      </c>
      <c r="B73" s="23">
        <v>20191825</v>
      </c>
      <c r="C73" s="23" t="s">
        <v>13</v>
      </c>
      <c r="D73" s="23"/>
    </row>
    <row r="74" spans="1:4" ht="15" customHeight="1">
      <c r="A74" s="23" t="str">
        <f>"梁尧"</f>
        <v>梁尧</v>
      </c>
      <c r="B74" s="23">
        <v>20191909</v>
      </c>
      <c r="C74" s="23" t="s">
        <v>13</v>
      </c>
      <c r="D74" s="23"/>
    </row>
    <row r="75" spans="1:4" ht="15" customHeight="1">
      <c r="A75" s="23" t="str">
        <f>"李迎仙"</f>
        <v>李迎仙</v>
      </c>
      <c r="B75" s="23">
        <v>20191921</v>
      </c>
      <c r="C75" s="23" t="s">
        <v>13</v>
      </c>
      <c r="D75" s="23"/>
    </row>
    <row r="76" spans="1:4" ht="15" customHeight="1">
      <c r="A76" s="23" t="str">
        <f>"屈江"</f>
        <v>屈江</v>
      </c>
      <c r="B76" s="23">
        <v>20191929</v>
      </c>
      <c r="C76" s="23" t="s">
        <v>13</v>
      </c>
      <c r="D76" s="23"/>
    </row>
    <row r="77" spans="1:4" ht="15" customHeight="1">
      <c r="A77" s="23" t="str">
        <f>"陶满珠"</f>
        <v>陶满珠</v>
      </c>
      <c r="B77" s="23">
        <v>20192016</v>
      </c>
      <c r="C77" s="23" t="s">
        <v>12</v>
      </c>
      <c r="D77" s="23"/>
    </row>
    <row r="78" spans="1:4" ht="15" customHeight="1">
      <c r="A78" s="23" t="str">
        <f>"王松瑶"</f>
        <v>王松瑶</v>
      </c>
      <c r="B78" s="23">
        <v>20192018</v>
      </c>
      <c r="C78" s="23" t="s">
        <v>12</v>
      </c>
      <c r="D78" s="23"/>
    </row>
    <row r="79" spans="1:4" ht="15" customHeight="1">
      <c r="A79" s="23" t="str">
        <f>"赵东亚"</f>
        <v>赵东亚</v>
      </c>
      <c r="B79" s="23">
        <v>20192020</v>
      </c>
      <c r="C79" s="23" t="s">
        <v>12</v>
      </c>
      <c r="D79" s="23"/>
    </row>
    <row r="80" spans="1:4" ht="15" customHeight="1">
      <c r="A80" s="23" t="str">
        <f>"李丹"</f>
        <v>李丹</v>
      </c>
      <c r="B80" s="23">
        <v>20192022</v>
      </c>
      <c r="C80" s="23" t="s">
        <v>12</v>
      </c>
      <c r="D80" s="23"/>
    </row>
    <row r="81" spans="1:4" ht="15" customHeight="1">
      <c r="A81" s="23" t="s">
        <v>134</v>
      </c>
      <c r="B81" s="23">
        <v>20192027</v>
      </c>
      <c r="C81" s="23" t="s">
        <v>12</v>
      </c>
      <c r="D81" s="24"/>
    </row>
    <row r="82" spans="1:4" ht="15" customHeight="1">
      <c r="A82" s="23" t="str">
        <f>"郭昂"</f>
        <v>郭昂</v>
      </c>
      <c r="B82" s="23">
        <v>20192102</v>
      </c>
      <c r="C82" s="23" t="s">
        <v>12</v>
      </c>
      <c r="D82" s="23"/>
    </row>
    <row r="83" spans="1:4" ht="15" customHeight="1">
      <c r="A83" s="23" t="str">
        <f>"王天娇"</f>
        <v>王天娇</v>
      </c>
      <c r="B83" s="23">
        <v>20192110</v>
      </c>
      <c r="C83" s="23" t="s">
        <v>12</v>
      </c>
      <c r="D83" s="23"/>
    </row>
    <row r="84" spans="1:4" ht="15" customHeight="1">
      <c r="A84" s="23" t="str">
        <f>"刘聪玲"</f>
        <v>刘聪玲</v>
      </c>
      <c r="B84" s="23">
        <v>20192122</v>
      </c>
      <c r="C84" s="23" t="s">
        <v>12</v>
      </c>
      <c r="D84" s="23"/>
    </row>
    <row r="85" spans="1:4" ht="15" customHeight="1">
      <c r="A85" s="23" t="str">
        <f>"文靖"</f>
        <v>文靖</v>
      </c>
      <c r="B85" s="23">
        <v>20192126</v>
      </c>
      <c r="C85" s="23" t="s">
        <v>12</v>
      </c>
      <c r="D85" s="23"/>
    </row>
    <row r="86" spans="1:4" ht="15" customHeight="1">
      <c r="A86" s="23" t="str">
        <f>"全江孔"</f>
        <v>全江孔</v>
      </c>
      <c r="B86" s="23">
        <v>20192204</v>
      </c>
      <c r="C86" s="23" t="s">
        <v>11</v>
      </c>
      <c r="D86" s="23"/>
    </row>
    <row r="87" spans="1:4" ht="15" customHeight="1">
      <c r="A87" s="23" t="str">
        <f>"樊婷"</f>
        <v>樊婷</v>
      </c>
      <c r="B87" s="23">
        <v>20192211</v>
      </c>
      <c r="C87" s="23" t="s">
        <v>11</v>
      </c>
      <c r="D87" s="23"/>
    </row>
    <row r="88" spans="1:4" ht="15" customHeight="1">
      <c r="A88" s="23" t="str">
        <f>"芦良雨"</f>
        <v>芦良雨</v>
      </c>
      <c r="B88" s="23">
        <v>20192220</v>
      </c>
      <c r="C88" s="23" t="s">
        <v>10</v>
      </c>
      <c r="D88" s="23"/>
    </row>
    <row r="89" spans="1:4" ht="15" customHeight="1">
      <c r="A89" s="23" t="str">
        <f>"李璇"</f>
        <v>李璇</v>
      </c>
      <c r="B89" s="23">
        <v>20192226</v>
      </c>
      <c r="C89" s="23" t="s">
        <v>10</v>
      </c>
      <c r="D89" s="23"/>
    </row>
    <row r="90" spans="1:4" ht="15" customHeight="1">
      <c r="A90" s="23" t="str">
        <f>"刘平"</f>
        <v>刘平</v>
      </c>
      <c r="B90" s="23">
        <v>20192307</v>
      </c>
      <c r="C90" s="23" t="s">
        <v>10</v>
      </c>
      <c r="D90" s="23"/>
    </row>
    <row r="91" spans="1:4" ht="15" customHeight="1">
      <c r="A91" s="23" t="str">
        <f>"刘泽帮"</f>
        <v>刘泽帮</v>
      </c>
      <c r="B91" s="23">
        <v>20192311</v>
      </c>
      <c r="C91" s="23" t="s">
        <v>9</v>
      </c>
      <c r="D91" s="23"/>
    </row>
    <row r="92" spans="1:4" ht="15" customHeight="1">
      <c r="A92" s="23" t="str">
        <f>"齐惠惠"</f>
        <v>齐惠惠</v>
      </c>
      <c r="B92" s="23">
        <v>20192313</v>
      </c>
      <c r="C92" s="23" t="s">
        <v>8</v>
      </c>
      <c r="D92" s="23"/>
    </row>
    <row r="93" spans="1:4" ht="15" customHeight="1">
      <c r="A93" s="23" t="str">
        <f>"庞英杰"</f>
        <v>庞英杰</v>
      </c>
      <c r="B93" s="23">
        <v>20192314</v>
      </c>
      <c r="C93" s="23" t="s">
        <v>8</v>
      </c>
      <c r="D93" s="23"/>
    </row>
    <row r="94" spans="1:4" ht="15" customHeight="1">
      <c r="A94" s="23" t="str">
        <f>"王玮"</f>
        <v>王玮</v>
      </c>
      <c r="B94" s="23">
        <v>20192329</v>
      </c>
      <c r="C94" s="23" t="s">
        <v>8</v>
      </c>
      <c r="D94" s="23"/>
    </row>
    <row r="95" spans="1:4" ht="15" customHeight="1">
      <c r="A95" s="23" t="s">
        <v>78</v>
      </c>
      <c r="B95" s="23">
        <v>20190401008</v>
      </c>
      <c r="C95" s="23" t="s">
        <v>79</v>
      </c>
      <c r="D95" s="23"/>
    </row>
    <row r="96" spans="1:4" ht="15" customHeight="1">
      <c r="A96" s="23" t="s">
        <v>89</v>
      </c>
      <c r="B96" s="23">
        <v>20190401010</v>
      </c>
      <c r="C96" s="23" t="s">
        <v>90</v>
      </c>
      <c r="D96" s="23"/>
    </row>
    <row r="97" spans="1:4" ht="15" customHeight="1">
      <c r="A97" s="23" t="s">
        <v>57</v>
      </c>
      <c r="B97" s="23">
        <v>20190401011</v>
      </c>
      <c r="C97" s="23" t="s">
        <v>58</v>
      </c>
      <c r="D97" s="23"/>
    </row>
    <row r="98" spans="1:4" ht="15" customHeight="1">
      <c r="A98" s="23" t="s">
        <v>91</v>
      </c>
      <c r="B98" s="23">
        <v>20190401012</v>
      </c>
      <c r="C98" s="23" t="s">
        <v>92</v>
      </c>
      <c r="D98" s="23"/>
    </row>
    <row r="99" spans="1:4" ht="15" customHeight="1">
      <c r="A99" s="23" t="s">
        <v>51</v>
      </c>
      <c r="B99" s="23">
        <v>20190401014</v>
      </c>
      <c r="C99" s="23" t="s">
        <v>52</v>
      </c>
      <c r="D99" s="23"/>
    </row>
    <row r="100" spans="1:4" ht="15" customHeight="1">
      <c r="A100" s="23" t="s">
        <v>80</v>
      </c>
      <c r="B100" s="23">
        <v>20190401018</v>
      </c>
      <c r="C100" s="23" t="s">
        <v>79</v>
      </c>
      <c r="D100" s="23"/>
    </row>
    <row r="101" spans="1:4" ht="15" customHeight="1">
      <c r="A101" s="23" t="s">
        <v>59</v>
      </c>
      <c r="B101" s="23">
        <v>20190401024</v>
      </c>
      <c r="C101" s="23" t="s">
        <v>58</v>
      </c>
      <c r="D101" s="23"/>
    </row>
    <row r="102" spans="1:4" ht="15" customHeight="1">
      <c r="A102" s="23" t="s">
        <v>93</v>
      </c>
      <c r="B102" s="23">
        <v>20190401025</v>
      </c>
      <c r="C102" s="23" t="s">
        <v>92</v>
      </c>
      <c r="D102" s="23"/>
    </row>
    <row r="103" spans="1:4" ht="15" customHeight="1">
      <c r="A103" s="23" t="s">
        <v>94</v>
      </c>
      <c r="B103" s="23">
        <v>20190401033</v>
      </c>
      <c r="C103" s="23" t="s">
        <v>92</v>
      </c>
      <c r="D103" s="23"/>
    </row>
    <row r="104" spans="1:4" ht="15" customHeight="1">
      <c r="A104" s="23" t="s">
        <v>95</v>
      </c>
      <c r="B104" s="23">
        <v>20190401034</v>
      </c>
      <c r="C104" s="23" t="s">
        <v>92</v>
      </c>
      <c r="D104" s="23"/>
    </row>
    <row r="105" spans="1:4" ht="15" customHeight="1">
      <c r="A105" s="23" t="s">
        <v>38</v>
      </c>
      <c r="B105" s="23">
        <v>20190401035</v>
      </c>
      <c r="C105" s="23" t="s">
        <v>39</v>
      </c>
      <c r="D105" s="23"/>
    </row>
    <row r="106" spans="1:4" ht="15" customHeight="1">
      <c r="A106" s="23" t="s">
        <v>107</v>
      </c>
      <c r="B106" s="23">
        <v>20190401037</v>
      </c>
      <c r="C106" s="23" t="s">
        <v>108</v>
      </c>
      <c r="D106" s="23"/>
    </row>
    <row r="107" spans="1:4" ht="15" customHeight="1">
      <c r="A107" s="23" t="s">
        <v>86</v>
      </c>
      <c r="B107" s="23">
        <v>20190401039</v>
      </c>
      <c r="C107" s="23" t="s">
        <v>87</v>
      </c>
      <c r="D107" s="23"/>
    </row>
    <row r="108" spans="1:4" ht="15" customHeight="1">
      <c r="A108" s="23" t="s">
        <v>60</v>
      </c>
      <c r="B108" s="23">
        <v>20190401041</v>
      </c>
      <c r="C108" s="23" t="s">
        <v>58</v>
      </c>
      <c r="D108" s="23"/>
    </row>
    <row r="109" spans="1:4" ht="15" customHeight="1">
      <c r="A109" s="23" t="s">
        <v>96</v>
      </c>
      <c r="B109" s="23">
        <v>20190401043</v>
      </c>
      <c r="C109" s="23" t="s">
        <v>92</v>
      </c>
      <c r="D109" s="23"/>
    </row>
    <row r="110" spans="1:4" ht="15" customHeight="1">
      <c r="A110" s="23" t="s">
        <v>97</v>
      </c>
      <c r="B110" s="23">
        <v>20190401044</v>
      </c>
      <c r="C110" s="23" t="s">
        <v>92</v>
      </c>
      <c r="D110" s="23"/>
    </row>
    <row r="111" spans="1:4" ht="15" customHeight="1">
      <c r="A111" s="23" t="s">
        <v>61</v>
      </c>
      <c r="B111" s="23">
        <v>20190401045</v>
      </c>
      <c r="C111" s="23" t="s">
        <v>58</v>
      </c>
      <c r="D111" s="23"/>
    </row>
    <row r="112" spans="1:4" ht="15" customHeight="1">
      <c r="A112" s="23" t="s">
        <v>109</v>
      </c>
      <c r="B112" s="23">
        <v>20190401046</v>
      </c>
      <c r="C112" s="23" t="s">
        <v>108</v>
      </c>
      <c r="D112" s="23"/>
    </row>
    <row r="113" spans="1:4" ht="15" customHeight="1">
      <c r="A113" s="23" t="s">
        <v>110</v>
      </c>
      <c r="B113" s="23">
        <v>20190401047</v>
      </c>
      <c r="C113" s="23" t="s">
        <v>108</v>
      </c>
      <c r="D113" s="23"/>
    </row>
    <row r="114" spans="1:4" ht="15" customHeight="1">
      <c r="A114" s="23" t="s">
        <v>53</v>
      </c>
      <c r="B114" s="23">
        <v>20190401048</v>
      </c>
      <c r="C114" s="23" t="s">
        <v>52</v>
      </c>
      <c r="D114" s="23"/>
    </row>
    <row r="115" spans="1:4" ht="15" customHeight="1">
      <c r="A115" s="23" t="s">
        <v>81</v>
      </c>
      <c r="B115" s="23">
        <v>20190401058</v>
      </c>
      <c r="C115" s="23" t="s">
        <v>79</v>
      </c>
      <c r="D115" s="23"/>
    </row>
    <row r="116" spans="1:4" ht="15" customHeight="1">
      <c r="A116" s="23" t="s">
        <v>40</v>
      </c>
      <c r="B116" s="23">
        <v>20190401060</v>
      </c>
      <c r="C116" s="23" t="s">
        <v>39</v>
      </c>
      <c r="D116" s="23"/>
    </row>
    <row r="117" spans="1:4" ht="15" customHeight="1">
      <c r="A117" s="23" t="s">
        <v>62</v>
      </c>
      <c r="B117" s="23">
        <v>20190401061</v>
      </c>
      <c r="C117" s="23" t="s">
        <v>58</v>
      </c>
      <c r="D117" s="23"/>
    </row>
    <row r="118" spans="1:4" ht="15" customHeight="1">
      <c r="A118" s="23" t="s">
        <v>63</v>
      </c>
      <c r="B118" s="23">
        <v>20190401064</v>
      </c>
      <c r="C118" s="23" t="s">
        <v>58</v>
      </c>
      <c r="D118" s="23"/>
    </row>
    <row r="119" spans="1:4" ht="15" customHeight="1">
      <c r="A119" s="23" t="s">
        <v>111</v>
      </c>
      <c r="B119" s="23">
        <v>20190401067</v>
      </c>
      <c r="C119" s="23" t="s">
        <v>108</v>
      </c>
      <c r="D119" s="23"/>
    </row>
    <row r="120" spans="1:4" ht="15" customHeight="1">
      <c r="A120" s="23" t="s">
        <v>82</v>
      </c>
      <c r="B120" s="23">
        <v>20190401068</v>
      </c>
      <c r="C120" s="23" t="s">
        <v>79</v>
      </c>
      <c r="D120" s="23"/>
    </row>
    <row r="121" spans="1:4" ht="15" customHeight="1">
      <c r="A121" s="23" t="s">
        <v>98</v>
      </c>
      <c r="B121" s="23">
        <v>20190401070</v>
      </c>
      <c r="C121" s="23" t="s">
        <v>92</v>
      </c>
      <c r="D121" s="23"/>
    </row>
    <row r="122" spans="1:4" ht="15" customHeight="1">
      <c r="A122" s="23" t="s">
        <v>99</v>
      </c>
      <c r="B122" s="23">
        <v>20190401072</v>
      </c>
      <c r="C122" s="23" t="s">
        <v>92</v>
      </c>
      <c r="D122" s="23"/>
    </row>
    <row r="123" spans="1:4" ht="15" customHeight="1">
      <c r="A123" s="23" t="s">
        <v>100</v>
      </c>
      <c r="B123" s="23">
        <v>20190401075</v>
      </c>
      <c r="C123" s="23" t="s">
        <v>92</v>
      </c>
      <c r="D123" s="23"/>
    </row>
    <row r="124" spans="1:4" ht="15" customHeight="1">
      <c r="A124" s="23" t="s">
        <v>64</v>
      </c>
      <c r="B124" s="23">
        <v>20190401076</v>
      </c>
      <c r="C124" s="23" t="s">
        <v>58</v>
      </c>
      <c r="D124" s="23"/>
    </row>
    <row r="125" spans="1:4" ht="15" customHeight="1">
      <c r="A125" s="23" t="s">
        <v>54</v>
      </c>
      <c r="B125" s="23">
        <v>20190401077</v>
      </c>
      <c r="C125" s="23" t="s">
        <v>52</v>
      </c>
      <c r="D125" s="23"/>
    </row>
    <row r="126" spans="1:4" ht="15" customHeight="1">
      <c r="A126" s="23" t="s">
        <v>41</v>
      </c>
      <c r="B126" s="23">
        <v>20190401085</v>
      </c>
      <c r="C126" s="23" t="s">
        <v>39</v>
      </c>
      <c r="D126" s="23"/>
    </row>
    <row r="127" spans="1:4" ht="15" customHeight="1">
      <c r="A127" s="23" t="s">
        <v>65</v>
      </c>
      <c r="B127" s="23">
        <v>20190401086</v>
      </c>
      <c r="C127" s="23" t="s">
        <v>58</v>
      </c>
      <c r="D127" s="23"/>
    </row>
    <row r="128" spans="1:4" ht="15" customHeight="1">
      <c r="A128" s="23" t="s">
        <v>66</v>
      </c>
      <c r="B128" s="23">
        <v>20190401088</v>
      </c>
      <c r="C128" s="23" t="s">
        <v>58</v>
      </c>
      <c r="D128" s="23"/>
    </row>
    <row r="129" spans="1:4" ht="15" customHeight="1">
      <c r="A129" s="23" t="s">
        <v>101</v>
      </c>
      <c r="B129" s="23">
        <v>20190401089</v>
      </c>
      <c r="C129" s="23" t="s">
        <v>92</v>
      </c>
      <c r="D129" s="23"/>
    </row>
    <row r="130" spans="1:4" ht="15" customHeight="1">
      <c r="A130" s="23" t="s">
        <v>67</v>
      </c>
      <c r="B130" s="23">
        <v>20190401092</v>
      </c>
      <c r="C130" s="23" t="s">
        <v>58</v>
      </c>
      <c r="D130" s="23"/>
    </row>
    <row r="131" spans="1:4" ht="15" customHeight="1">
      <c r="A131" s="23" t="s">
        <v>68</v>
      </c>
      <c r="B131" s="23">
        <v>20190401093</v>
      </c>
      <c r="C131" s="23" t="s">
        <v>58</v>
      </c>
      <c r="D131" s="23"/>
    </row>
    <row r="132" spans="1:4" ht="15" customHeight="1">
      <c r="A132" s="23" t="s">
        <v>31</v>
      </c>
      <c r="B132" s="23">
        <v>20190401095</v>
      </c>
      <c r="C132" s="23" t="s">
        <v>32</v>
      </c>
      <c r="D132" s="23"/>
    </row>
    <row r="133" spans="1:4" ht="15" customHeight="1">
      <c r="A133" s="23" t="s">
        <v>69</v>
      </c>
      <c r="B133" s="23">
        <v>20190401101</v>
      </c>
      <c r="C133" s="23" t="s">
        <v>58</v>
      </c>
      <c r="D133" s="23"/>
    </row>
    <row r="134" spans="1:4" ht="15" customHeight="1">
      <c r="A134" s="23" t="s">
        <v>102</v>
      </c>
      <c r="B134" s="23">
        <v>20190401102</v>
      </c>
      <c r="C134" s="23" t="s">
        <v>92</v>
      </c>
      <c r="D134" s="23"/>
    </row>
    <row r="135" spans="1:4" ht="15" customHeight="1">
      <c r="A135" s="23" t="s">
        <v>70</v>
      </c>
      <c r="B135" s="23">
        <v>20190401103</v>
      </c>
      <c r="C135" s="23" t="s">
        <v>58</v>
      </c>
      <c r="D135" s="23"/>
    </row>
    <row r="136" spans="1:4" ht="15" customHeight="1">
      <c r="A136" s="23" t="s">
        <v>55</v>
      </c>
      <c r="B136" s="23">
        <v>20190401104</v>
      </c>
      <c r="C136" s="23" t="s">
        <v>52</v>
      </c>
      <c r="D136" s="23"/>
    </row>
    <row r="137" spans="1:4" ht="15" customHeight="1">
      <c r="A137" s="23" t="s">
        <v>56</v>
      </c>
      <c r="B137" s="23">
        <v>20190401105</v>
      </c>
      <c r="C137" s="23" t="s">
        <v>52</v>
      </c>
      <c r="D137" s="23"/>
    </row>
    <row r="138" spans="1:4" ht="15" customHeight="1">
      <c r="A138" s="23" t="s">
        <v>42</v>
      </c>
      <c r="B138" s="23">
        <v>20190401106</v>
      </c>
      <c r="C138" s="23" t="s">
        <v>39</v>
      </c>
      <c r="D138" s="23"/>
    </row>
    <row r="139" spans="1:4" ht="15" customHeight="1">
      <c r="A139" s="23" t="s">
        <v>112</v>
      </c>
      <c r="B139" s="23">
        <v>20190401108</v>
      </c>
      <c r="C139" s="23" t="s">
        <v>108</v>
      </c>
      <c r="D139" s="23"/>
    </row>
    <row r="140" spans="1:4" ht="15" customHeight="1">
      <c r="A140" s="23" t="s">
        <v>76</v>
      </c>
      <c r="B140" s="23">
        <v>20190401113</v>
      </c>
      <c r="C140" s="23" t="s">
        <v>77</v>
      </c>
      <c r="D140" s="23"/>
    </row>
    <row r="141" spans="1:4" ht="15" customHeight="1">
      <c r="A141" s="23" t="s">
        <v>88</v>
      </c>
      <c r="B141" s="23">
        <v>20190401114</v>
      </c>
      <c r="C141" s="23" t="s">
        <v>87</v>
      </c>
      <c r="D141" s="23"/>
    </row>
    <row r="142" spans="1:4" ht="15" customHeight="1">
      <c r="A142" s="23" t="s">
        <v>113</v>
      </c>
      <c r="B142" s="23">
        <v>20190401116</v>
      </c>
      <c r="C142" s="23" t="s">
        <v>108</v>
      </c>
      <c r="D142" s="23"/>
    </row>
    <row r="143" spans="1:4" ht="15" customHeight="1">
      <c r="A143" s="23" t="s">
        <v>71</v>
      </c>
      <c r="B143" s="23">
        <v>20190401117</v>
      </c>
      <c r="C143" s="23" t="s">
        <v>58</v>
      </c>
      <c r="D143" s="23"/>
    </row>
    <row r="144" spans="1:4" ht="15" customHeight="1">
      <c r="A144" s="23" t="s">
        <v>43</v>
      </c>
      <c r="B144" s="23">
        <v>20190401118</v>
      </c>
      <c r="C144" s="23" t="s">
        <v>39</v>
      </c>
      <c r="D144" s="23"/>
    </row>
    <row r="145" spans="1:4" ht="15" customHeight="1">
      <c r="A145" s="23" t="s">
        <v>114</v>
      </c>
      <c r="B145" s="23">
        <v>20190401119</v>
      </c>
      <c r="C145" s="23" t="s">
        <v>108</v>
      </c>
      <c r="D145" s="23"/>
    </row>
    <row r="146" spans="1:4" ht="15" customHeight="1">
      <c r="A146" s="23" t="s">
        <v>115</v>
      </c>
      <c r="B146" s="23">
        <v>20190401120</v>
      </c>
      <c r="C146" s="23" t="s">
        <v>108</v>
      </c>
      <c r="D146" s="23"/>
    </row>
    <row r="147" spans="1:4" ht="15" customHeight="1">
      <c r="A147" s="23" t="s">
        <v>72</v>
      </c>
      <c r="B147" s="23">
        <v>20190401121</v>
      </c>
      <c r="C147" s="23" t="s">
        <v>58</v>
      </c>
      <c r="D147" s="23"/>
    </row>
    <row r="148" spans="1:4" ht="15" customHeight="1">
      <c r="A148" s="23" t="s">
        <v>44</v>
      </c>
      <c r="B148" s="23">
        <v>20190401124</v>
      </c>
      <c r="C148" s="23" t="s">
        <v>39</v>
      </c>
      <c r="D148" s="23"/>
    </row>
    <row r="149" spans="1:4" ht="15" customHeight="1">
      <c r="A149" s="23" t="s">
        <v>45</v>
      </c>
      <c r="B149" s="23">
        <v>20190401125</v>
      </c>
      <c r="C149" s="23" t="s">
        <v>39</v>
      </c>
      <c r="D149" s="23"/>
    </row>
    <row r="150" spans="1:4" ht="15" customHeight="1">
      <c r="A150" s="23" t="s">
        <v>116</v>
      </c>
      <c r="B150" s="23">
        <v>20190401127</v>
      </c>
      <c r="C150" s="23" t="s">
        <v>108</v>
      </c>
      <c r="D150" s="23"/>
    </row>
    <row r="151" spans="1:4" ht="15" customHeight="1">
      <c r="A151" s="23" t="s">
        <v>33</v>
      </c>
      <c r="B151" s="23">
        <v>20190401131</v>
      </c>
      <c r="C151" s="23" t="s">
        <v>32</v>
      </c>
      <c r="D151" s="23"/>
    </row>
    <row r="152" spans="1:4" ht="15" customHeight="1">
      <c r="A152" s="23" t="s">
        <v>117</v>
      </c>
      <c r="B152" s="23">
        <v>20190401132</v>
      </c>
      <c r="C152" s="23" t="s">
        <v>108</v>
      </c>
      <c r="D152" s="23"/>
    </row>
    <row r="153" spans="1:4" ht="15" customHeight="1">
      <c r="A153" s="23" t="s">
        <v>123</v>
      </c>
      <c r="B153" s="23">
        <v>20190401134</v>
      </c>
      <c r="C153" s="23" t="s">
        <v>124</v>
      </c>
      <c r="D153" s="23"/>
    </row>
    <row r="154" spans="1:4" ht="15" customHeight="1">
      <c r="A154" s="23" t="s">
        <v>83</v>
      </c>
      <c r="B154" s="23">
        <v>20190401135</v>
      </c>
      <c r="C154" s="23" t="s">
        <v>79</v>
      </c>
      <c r="D154" s="23"/>
    </row>
    <row r="155" spans="1:4" ht="15" customHeight="1">
      <c r="A155" s="23" t="s">
        <v>73</v>
      </c>
      <c r="B155" s="23">
        <v>20190401137</v>
      </c>
      <c r="C155" s="23" t="s">
        <v>58</v>
      </c>
      <c r="D155" s="23"/>
    </row>
    <row r="156" spans="1:4" ht="15" customHeight="1">
      <c r="A156" s="23" t="s">
        <v>103</v>
      </c>
      <c r="B156" s="23">
        <v>20190401138</v>
      </c>
      <c r="C156" s="23" t="s">
        <v>92</v>
      </c>
      <c r="D156" s="23"/>
    </row>
    <row r="157" spans="1:4" ht="15" customHeight="1">
      <c r="A157" s="23" t="s">
        <v>118</v>
      </c>
      <c r="B157" s="23">
        <v>20190401143</v>
      </c>
      <c r="C157" s="23" t="s">
        <v>108</v>
      </c>
      <c r="D157" s="23"/>
    </row>
    <row r="158" spans="1:4" ht="15" customHeight="1">
      <c r="A158" s="23" t="s">
        <v>47</v>
      </c>
      <c r="B158" s="23">
        <v>20190401147</v>
      </c>
      <c r="C158" s="23" t="s">
        <v>48</v>
      </c>
      <c r="D158" s="23"/>
    </row>
    <row r="159" spans="1:4" ht="15" customHeight="1">
      <c r="A159" s="23" t="s">
        <v>119</v>
      </c>
      <c r="B159" s="23">
        <v>20190601003</v>
      </c>
      <c r="C159" s="23" t="s">
        <v>108</v>
      </c>
      <c r="D159" s="23"/>
    </row>
    <row r="160" spans="1:4" ht="15" customHeight="1">
      <c r="A160" s="23" t="s">
        <v>34</v>
      </c>
      <c r="B160" s="23">
        <v>20190601012</v>
      </c>
      <c r="C160" s="23" t="s">
        <v>32</v>
      </c>
      <c r="D160" s="23"/>
    </row>
    <row r="161" spans="1:7" ht="15" customHeight="1">
      <c r="A161" s="23" t="s">
        <v>84</v>
      </c>
      <c r="B161" s="23">
        <v>20190601020</v>
      </c>
      <c r="C161" s="23" t="s">
        <v>79</v>
      </c>
      <c r="D161" s="23"/>
    </row>
    <row r="162" spans="1:7" ht="15" customHeight="1">
      <c r="A162" s="23" t="s">
        <v>35</v>
      </c>
      <c r="B162" s="23">
        <v>20190601024</v>
      </c>
      <c r="C162" s="23" t="s">
        <v>32</v>
      </c>
      <c r="D162" s="23"/>
    </row>
    <row r="163" spans="1:7" ht="15" customHeight="1">
      <c r="A163" s="23" t="s">
        <v>85</v>
      </c>
      <c r="B163" s="23">
        <v>20190601030</v>
      </c>
      <c r="C163" s="23" t="s">
        <v>79</v>
      </c>
      <c r="D163" s="23"/>
    </row>
    <row r="164" spans="1:7" ht="15" customHeight="1">
      <c r="A164" s="23" t="s">
        <v>125</v>
      </c>
      <c r="B164" s="23">
        <v>20190601031</v>
      </c>
      <c r="C164" s="23" t="s">
        <v>124</v>
      </c>
      <c r="D164" s="23"/>
    </row>
    <row r="165" spans="1:7" ht="15" customHeight="1">
      <c r="A165" s="23" t="s">
        <v>120</v>
      </c>
      <c r="B165" s="23">
        <v>20190602004</v>
      </c>
      <c r="C165" s="23" t="s">
        <v>108</v>
      </c>
      <c r="D165" s="23"/>
    </row>
    <row r="166" spans="1:7" ht="15" customHeight="1">
      <c r="A166" s="23" t="s">
        <v>126</v>
      </c>
      <c r="B166" s="23">
        <v>20190602008</v>
      </c>
      <c r="C166" s="23" t="s">
        <v>124</v>
      </c>
      <c r="D166" s="23"/>
    </row>
    <row r="167" spans="1:7" ht="15" customHeight="1">
      <c r="A167" s="23" t="s">
        <v>36</v>
      </c>
      <c r="B167" s="23">
        <v>20190602011</v>
      </c>
      <c r="C167" s="23" t="s">
        <v>32</v>
      </c>
      <c r="D167" s="23"/>
    </row>
    <row r="168" spans="1:7" ht="15" customHeight="1">
      <c r="A168" s="23" t="s">
        <v>37</v>
      </c>
      <c r="B168" s="23">
        <v>20190602016</v>
      </c>
      <c r="C168" s="23" t="s">
        <v>32</v>
      </c>
      <c r="D168" s="23"/>
    </row>
    <row r="169" spans="1:7" ht="15" customHeight="1">
      <c r="A169" s="23" t="s">
        <v>104</v>
      </c>
      <c r="B169" s="23">
        <v>20190602018</v>
      </c>
      <c r="C169" s="23" t="s">
        <v>92</v>
      </c>
      <c r="D169" s="23"/>
      <c r="F169" s="25"/>
      <c r="G169" s="25"/>
    </row>
    <row r="170" spans="1:7" ht="15" customHeight="1">
      <c r="A170" s="23" t="s">
        <v>121</v>
      </c>
      <c r="B170" s="23">
        <v>20190602021</v>
      </c>
      <c r="C170" s="23" t="s">
        <v>108</v>
      </c>
      <c r="D170" s="23"/>
      <c r="F170" s="25"/>
      <c r="G170" s="25"/>
    </row>
    <row r="171" spans="1:7" ht="15" customHeight="1">
      <c r="A171" s="23" t="s">
        <v>127</v>
      </c>
      <c r="B171" s="23">
        <v>20190602026</v>
      </c>
      <c r="C171" s="23" t="s">
        <v>124</v>
      </c>
      <c r="D171" s="23"/>
      <c r="F171" s="25"/>
      <c r="G171" s="25"/>
    </row>
    <row r="172" spans="1:7" ht="15" customHeight="1">
      <c r="A172" s="23" t="s">
        <v>122</v>
      </c>
      <c r="B172" s="23">
        <v>20190602030</v>
      </c>
      <c r="C172" s="23" t="s">
        <v>108</v>
      </c>
      <c r="D172" s="23"/>
      <c r="F172" s="25"/>
      <c r="G172" s="25"/>
    </row>
    <row r="173" spans="1:7" ht="15" customHeight="1">
      <c r="A173" s="23" t="s">
        <v>128</v>
      </c>
      <c r="B173" s="23">
        <v>20190602038</v>
      </c>
      <c r="C173" s="23" t="s">
        <v>124</v>
      </c>
      <c r="D173" s="23"/>
      <c r="F173" s="25"/>
      <c r="G173" s="25"/>
    </row>
    <row r="174" spans="1:7" ht="15" customHeight="1">
      <c r="A174" s="23" t="s">
        <v>49</v>
      </c>
      <c r="B174" s="23">
        <v>20190602046</v>
      </c>
      <c r="C174" s="23" t="s">
        <v>48</v>
      </c>
      <c r="D174" s="23"/>
      <c r="F174" s="25"/>
      <c r="G174" s="25"/>
    </row>
    <row r="175" spans="1:7" ht="15" customHeight="1">
      <c r="A175" s="23" t="s">
        <v>46</v>
      </c>
      <c r="B175" s="23"/>
      <c r="C175" s="23" t="s">
        <v>39</v>
      </c>
      <c r="D175" s="23" t="s">
        <v>256</v>
      </c>
    </row>
    <row r="176" spans="1:7" ht="15" customHeight="1">
      <c r="A176" s="23" t="s">
        <v>50</v>
      </c>
      <c r="B176" s="23"/>
      <c r="C176" s="23" t="s">
        <v>48</v>
      </c>
      <c r="D176" s="23" t="s">
        <v>256</v>
      </c>
    </row>
    <row r="177" spans="1:4" ht="15" customHeight="1">
      <c r="A177" s="23" t="s">
        <v>74</v>
      </c>
      <c r="B177" s="23"/>
      <c r="C177" s="23" t="s">
        <v>58</v>
      </c>
      <c r="D177" s="23" t="s">
        <v>256</v>
      </c>
    </row>
    <row r="178" spans="1:4" ht="15" customHeight="1">
      <c r="A178" s="23" t="s">
        <v>75</v>
      </c>
      <c r="B178" s="23"/>
      <c r="C178" s="23" t="s">
        <v>58</v>
      </c>
      <c r="D178" s="23" t="s">
        <v>256</v>
      </c>
    </row>
    <row r="179" spans="1:4" ht="15" customHeight="1">
      <c r="A179" s="23" t="s">
        <v>105</v>
      </c>
      <c r="B179" s="23"/>
      <c r="C179" s="23" t="s">
        <v>92</v>
      </c>
      <c r="D179" s="23" t="s">
        <v>256</v>
      </c>
    </row>
    <row r="180" spans="1:4" ht="15" customHeight="1">
      <c r="A180" s="23" t="s">
        <v>106</v>
      </c>
      <c r="B180" s="23"/>
      <c r="C180" s="23" t="s">
        <v>92</v>
      </c>
      <c r="D180" s="23" t="s">
        <v>256</v>
      </c>
    </row>
    <row r="181" spans="1:4" ht="15" customHeight="1">
      <c r="A181" s="23" t="s">
        <v>135</v>
      </c>
      <c r="B181" s="23">
        <v>20190705006</v>
      </c>
      <c r="C181" s="23" t="s">
        <v>136</v>
      </c>
      <c r="D181" s="23"/>
    </row>
    <row r="182" spans="1:4" ht="15" customHeight="1">
      <c r="A182" s="23" t="s">
        <v>137</v>
      </c>
      <c r="B182" s="23">
        <v>20190705026</v>
      </c>
      <c r="C182" s="23" t="s">
        <v>136</v>
      </c>
      <c r="D182" s="23"/>
    </row>
    <row r="183" spans="1:4" ht="15" customHeight="1">
      <c r="A183" s="23" t="s">
        <v>138</v>
      </c>
      <c r="B183" s="23">
        <v>20190705011</v>
      </c>
      <c r="C183" s="23" t="s">
        <v>139</v>
      </c>
      <c r="D183" s="23"/>
    </row>
    <row r="184" spans="1:4" ht="15" customHeight="1">
      <c r="A184" s="23" t="s">
        <v>140</v>
      </c>
      <c r="B184" s="23">
        <v>20190705012</v>
      </c>
      <c r="C184" s="23" t="s">
        <v>139</v>
      </c>
      <c r="D184" s="23"/>
    </row>
    <row r="185" spans="1:4" ht="15" customHeight="1">
      <c r="A185" s="23" t="s">
        <v>141</v>
      </c>
      <c r="B185" s="23">
        <v>20190705016</v>
      </c>
      <c r="C185" s="23" t="s">
        <v>139</v>
      </c>
      <c r="D185" s="23"/>
    </row>
    <row r="186" spans="1:4" ht="15" customHeight="1">
      <c r="A186" s="23" t="s">
        <v>142</v>
      </c>
      <c r="B186" s="23">
        <v>20190705017</v>
      </c>
      <c r="C186" s="23" t="s">
        <v>139</v>
      </c>
      <c r="D186" s="23"/>
    </row>
    <row r="187" spans="1:4" ht="15" customHeight="1">
      <c r="A187" s="23" t="s">
        <v>143</v>
      </c>
      <c r="B187" s="23">
        <v>20190705018</v>
      </c>
      <c r="C187" s="23" t="s">
        <v>139</v>
      </c>
      <c r="D187" s="23"/>
    </row>
    <row r="188" spans="1:4" ht="15" customHeight="1">
      <c r="A188" s="23" t="s">
        <v>144</v>
      </c>
      <c r="B188" s="23">
        <v>20190705031</v>
      </c>
      <c r="C188" s="23" t="s">
        <v>139</v>
      </c>
      <c r="D188" s="23"/>
    </row>
    <row r="189" spans="1:4" ht="15" customHeight="1">
      <c r="A189" s="23" t="s">
        <v>145</v>
      </c>
      <c r="B189" s="23">
        <v>20190705036</v>
      </c>
      <c r="C189" s="23" t="s">
        <v>139</v>
      </c>
      <c r="D189" s="23"/>
    </row>
    <row r="190" spans="1:4" ht="15" customHeight="1">
      <c r="A190" s="23" t="s">
        <v>146</v>
      </c>
      <c r="B190" s="23">
        <v>20190705042</v>
      </c>
      <c r="C190" s="23" t="s">
        <v>139</v>
      </c>
      <c r="D190" s="23"/>
    </row>
    <row r="191" spans="1:4" ht="15" customHeight="1">
      <c r="A191" s="23" t="s">
        <v>147</v>
      </c>
      <c r="B191" s="23">
        <v>20190705043</v>
      </c>
      <c r="C191" s="23" t="s">
        <v>139</v>
      </c>
      <c r="D191" s="23"/>
    </row>
    <row r="192" spans="1:4" ht="15" customHeight="1">
      <c r="A192" s="23" t="s">
        <v>148</v>
      </c>
      <c r="B192" s="23">
        <v>20190705001</v>
      </c>
      <c r="C192" s="23" t="s">
        <v>139</v>
      </c>
      <c r="D192" s="23"/>
    </row>
    <row r="193" spans="1:4" ht="15" customHeight="1">
      <c r="A193" s="23" t="s">
        <v>149</v>
      </c>
      <c r="B193" s="23">
        <v>20190705002</v>
      </c>
      <c r="C193" s="23" t="s">
        <v>139</v>
      </c>
      <c r="D193" s="23"/>
    </row>
    <row r="194" spans="1:4" ht="15" customHeight="1">
      <c r="A194" s="23" t="s">
        <v>150</v>
      </c>
      <c r="B194" s="23">
        <v>20190705003</v>
      </c>
      <c r="C194" s="23" t="s">
        <v>139</v>
      </c>
      <c r="D194" s="23"/>
    </row>
    <row r="195" spans="1:4" ht="15" customHeight="1">
      <c r="A195" s="23" t="s">
        <v>151</v>
      </c>
      <c r="B195" s="23">
        <v>20190705004</v>
      </c>
      <c r="C195" s="23" t="s">
        <v>139</v>
      </c>
      <c r="D195" s="23"/>
    </row>
    <row r="196" spans="1:4" ht="15" customHeight="1">
      <c r="A196" s="23" t="s">
        <v>152</v>
      </c>
      <c r="B196" s="23">
        <v>20190705008</v>
      </c>
      <c r="C196" s="23" t="s">
        <v>139</v>
      </c>
      <c r="D196" s="23"/>
    </row>
    <row r="197" spans="1:4" ht="15" customHeight="1">
      <c r="A197" s="23" t="s">
        <v>153</v>
      </c>
      <c r="B197" s="23">
        <v>20190705013</v>
      </c>
      <c r="C197" s="23" t="s">
        <v>139</v>
      </c>
      <c r="D197" s="23"/>
    </row>
    <row r="198" spans="1:4" ht="15" customHeight="1">
      <c r="A198" s="23" t="s">
        <v>154</v>
      </c>
      <c r="B198" s="23">
        <v>20190705019</v>
      </c>
      <c r="C198" s="23" t="s">
        <v>139</v>
      </c>
      <c r="D198" s="23"/>
    </row>
    <row r="199" spans="1:4" ht="15" customHeight="1">
      <c r="A199" s="23" t="s">
        <v>155</v>
      </c>
      <c r="B199" s="23">
        <v>20190705022</v>
      </c>
      <c r="C199" s="23" t="s">
        <v>139</v>
      </c>
      <c r="D199" s="23"/>
    </row>
    <row r="200" spans="1:4" ht="15" customHeight="1">
      <c r="A200" s="23" t="s">
        <v>156</v>
      </c>
      <c r="B200" s="23">
        <v>20190705023</v>
      </c>
      <c r="C200" s="23" t="s">
        <v>139</v>
      </c>
      <c r="D200" s="23"/>
    </row>
    <row r="201" spans="1:4" ht="15" customHeight="1">
      <c r="A201" s="23" t="s">
        <v>157</v>
      </c>
      <c r="B201" s="23">
        <v>20190705030</v>
      </c>
      <c r="C201" s="23" t="s">
        <v>139</v>
      </c>
      <c r="D201" s="23"/>
    </row>
    <row r="202" spans="1:4" ht="15" customHeight="1">
      <c r="A202" s="23" t="s">
        <v>158</v>
      </c>
      <c r="B202" s="23">
        <v>20190705032</v>
      </c>
      <c r="C202" s="23" t="s">
        <v>139</v>
      </c>
      <c r="D202" s="23"/>
    </row>
    <row r="203" spans="1:4" ht="15" customHeight="1">
      <c r="A203" s="23" t="s">
        <v>159</v>
      </c>
      <c r="B203" s="23">
        <v>20190705033</v>
      </c>
      <c r="C203" s="23" t="s">
        <v>139</v>
      </c>
      <c r="D203" s="23"/>
    </row>
    <row r="204" spans="1:4" ht="15" customHeight="1">
      <c r="A204" s="23" t="s">
        <v>160</v>
      </c>
      <c r="B204" s="23">
        <v>20190705037</v>
      </c>
      <c r="C204" s="23" t="s">
        <v>139</v>
      </c>
      <c r="D204" s="23"/>
    </row>
    <row r="205" spans="1:4" ht="15" customHeight="1">
      <c r="A205" s="23" t="s">
        <v>161</v>
      </c>
      <c r="B205" s="23">
        <v>20190705050</v>
      </c>
      <c r="C205" s="23" t="s">
        <v>139</v>
      </c>
      <c r="D205" s="23"/>
    </row>
    <row r="206" spans="1:4" ht="15" customHeight="1">
      <c r="A206" s="23" t="s">
        <v>162</v>
      </c>
      <c r="B206" s="23">
        <v>20190705052</v>
      </c>
      <c r="C206" s="23" t="s">
        <v>163</v>
      </c>
      <c r="D206" s="23"/>
    </row>
    <row r="207" spans="1:4" ht="15" customHeight="1">
      <c r="A207" s="23" t="s">
        <v>164</v>
      </c>
      <c r="B207" s="23">
        <v>20192503</v>
      </c>
      <c r="C207" s="23" t="s">
        <v>7</v>
      </c>
      <c r="D207" s="23"/>
    </row>
    <row r="208" spans="1:4" ht="15" customHeight="1">
      <c r="A208" s="23" t="s">
        <v>165</v>
      </c>
      <c r="B208" s="23">
        <v>20192507</v>
      </c>
      <c r="C208" s="23" t="s">
        <v>7</v>
      </c>
      <c r="D208" s="23"/>
    </row>
    <row r="209" spans="1:4" ht="15" customHeight="1">
      <c r="A209" s="23" t="s">
        <v>166</v>
      </c>
      <c r="B209" s="23">
        <v>20192508</v>
      </c>
      <c r="C209" s="23" t="s">
        <v>7</v>
      </c>
      <c r="D209" s="23"/>
    </row>
    <row r="210" spans="1:4" ht="15" customHeight="1">
      <c r="A210" s="23" t="s">
        <v>167</v>
      </c>
      <c r="B210" s="23">
        <v>20192512</v>
      </c>
      <c r="C210" s="23" t="s">
        <v>7</v>
      </c>
      <c r="D210" s="23"/>
    </row>
    <row r="211" spans="1:4" ht="15" customHeight="1">
      <c r="A211" s="23" t="s">
        <v>168</v>
      </c>
      <c r="B211" s="23">
        <v>20192515</v>
      </c>
      <c r="C211" s="23" t="s">
        <v>7</v>
      </c>
      <c r="D211" s="23"/>
    </row>
    <row r="212" spans="1:4" ht="15" customHeight="1">
      <c r="A212" s="23" t="s">
        <v>169</v>
      </c>
      <c r="B212" s="23">
        <v>20192516</v>
      </c>
      <c r="C212" s="23" t="s">
        <v>7</v>
      </c>
      <c r="D212" s="23"/>
    </row>
    <row r="213" spans="1:4" ht="15" customHeight="1">
      <c r="A213" s="23" t="s">
        <v>170</v>
      </c>
      <c r="B213" s="23">
        <v>20192517</v>
      </c>
      <c r="C213" s="23" t="s">
        <v>7</v>
      </c>
      <c r="D213" s="23"/>
    </row>
    <row r="214" spans="1:4" ht="15" customHeight="1">
      <c r="A214" s="23" t="s">
        <v>171</v>
      </c>
      <c r="B214" s="23">
        <v>20192518</v>
      </c>
      <c r="C214" s="23" t="s">
        <v>7</v>
      </c>
      <c r="D214" s="23"/>
    </row>
    <row r="215" spans="1:4" ht="15" customHeight="1">
      <c r="A215" s="23" t="s">
        <v>172</v>
      </c>
      <c r="B215" s="23">
        <v>20192522</v>
      </c>
      <c r="C215" s="23" t="s">
        <v>7</v>
      </c>
      <c r="D215" s="23"/>
    </row>
    <row r="216" spans="1:4" ht="15" customHeight="1">
      <c r="A216" s="23" t="s">
        <v>173</v>
      </c>
      <c r="B216" s="23">
        <v>20192529</v>
      </c>
      <c r="C216" s="23" t="s">
        <v>7</v>
      </c>
      <c r="D216" s="23"/>
    </row>
    <row r="217" spans="1:4" ht="15" customHeight="1">
      <c r="A217" s="23" t="s">
        <v>174</v>
      </c>
      <c r="B217" s="23">
        <v>20192602</v>
      </c>
      <c r="C217" s="23" t="s">
        <v>7</v>
      </c>
      <c r="D217" s="23"/>
    </row>
    <row r="218" spans="1:4" ht="15" customHeight="1">
      <c r="A218" s="23" t="s">
        <v>175</v>
      </c>
      <c r="B218" s="23">
        <v>20192605</v>
      </c>
      <c r="C218" s="23" t="s">
        <v>7</v>
      </c>
      <c r="D218" s="23"/>
    </row>
    <row r="219" spans="1:4" ht="15" customHeight="1">
      <c r="A219" s="23" t="s">
        <v>176</v>
      </c>
      <c r="B219" s="23">
        <v>20192607</v>
      </c>
      <c r="C219" s="23" t="s">
        <v>7</v>
      </c>
      <c r="D219" s="23"/>
    </row>
    <row r="220" spans="1:4" ht="15" customHeight="1">
      <c r="A220" s="23" t="s">
        <v>177</v>
      </c>
      <c r="B220" s="23">
        <v>20192609</v>
      </c>
      <c r="C220" s="23" t="s">
        <v>7</v>
      </c>
      <c r="D220" s="23"/>
    </row>
    <row r="221" spans="1:4" ht="15" customHeight="1">
      <c r="A221" s="23" t="s">
        <v>178</v>
      </c>
      <c r="B221" s="23">
        <v>20192619</v>
      </c>
      <c r="C221" s="23" t="s">
        <v>7</v>
      </c>
      <c r="D221" s="23"/>
    </row>
    <row r="222" spans="1:4" ht="15" customHeight="1">
      <c r="A222" s="23" t="s">
        <v>179</v>
      </c>
      <c r="B222" s="23">
        <v>20192621</v>
      </c>
      <c r="C222" s="23" t="s">
        <v>7</v>
      </c>
      <c r="D222" s="23"/>
    </row>
    <row r="223" spans="1:4" ht="15" customHeight="1">
      <c r="A223" s="23" t="s">
        <v>180</v>
      </c>
      <c r="B223" s="23">
        <v>20192623</v>
      </c>
      <c r="C223" s="23" t="s">
        <v>7</v>
      </c>
      <c r="D223" s="23"/>
    </row>
    <row r="224" spans="1:4" ht="15" customHeight="1">
      <c r="A224" s="23" t="s">
        <v>181</v>
      </c>
      <c r="B224" s="23">
        <v>20192629</v>
      </c>
      <c r="C224" s="23" t="s">
        <v>7</v>
      </c>
      <c r="D224" s="23"/>
    </row>
    <row r="225" spans="1:4" ht="15" customHeight="1">
      <c r="A225" s="23" t="s">
        <v>182</v>
      </c>
      <c r="B225" s="23">
        <v>20192701</v>
      </c>
      <c r="C225" s="23" t="s">
        <v>7</v>
      </c>
      <c r="D225" s="23"/>
    </row>
    <row r="226" spans="1:4" ht="15" customHeight="1">
      <c r="A226" s="23" t="s">
        <v>183</v>
      </c>
      <c r="B226" s="23">
        <v>20192702</v>
      </c>
      <c r="C226" s="23" t="s">
        <v>7</v>
      </c>
      <c r="D226" s="23"/>
    </row>
    <row r="227" spans="1:4" ht="15" customHeight="1">
      <c r="A227" s="23" t="s">
        <v>184</v>
      </c>
      <c r="B227" s="23">
        <v>20192705</v>
      </c>
      <c r="C227" s="23" t="s">
        <v>7</v>
      </c>
      <c r="D227" s="23"/>
    </row>
    <row r="228" spans="1:4" ht="15" customHeight="1">
      <c r="A228" s="23" t="s">
        <v>185</v>
      </c>
      <c r="B228" s="23">
        <v>20192706</v>
      </c>
      <c r="C228" s="23" t="s">
        <v>7</v>
      </c>
      <c r="D228" s="23"/>
    </row>
    <row r="229" spans="1:4" ht="15" customHeight="1">
      <c r="A229" s="23" t="s">
        <v>186</v>
      </c>
      <c r="B229" s="23">
        <v>20192711</v>
      </c>
      <c r="C229" s="23" t="s">
        <v>7</v>
      </c>
      <c r="D229" s="23"/>
    </row>
    <row r="230" spans="1:4" ht="15" customHeight="1">
      <c r="A230" s="23" t="s">
        <v>187</v>
      </c>
      <c r="B230" s="23">
        <v>20192716</v>
      </c>
      <c r="C230" s="23" t="s">
        <v>7</v>
      </c>
      <c r="D230" s="23"/>
    </row>
    <row r="231" spans="1:4" ht="15" customHeight="1">
      <c r="A231" s="23" t="s">
        <v>188</v>
      </c>
      <c r="B231" s="23">
        <v>20192719</v>
      </c>
      <c r="C231" s="23" t="s">
        <v>7</v>
      </c>
      <c r="D231" s="23"/>
    </row>
    <row r="232" spans="1:4" ht="15" customHeight="1">
      <c r="A232" s="23" t="s">
        <v>189</v>
      </c>
      <c r="B232" s="23">
        <v>20192720</v>
      </c>
      <c r="C232" s="23" t="s">
        <v>7</v>
      </c>
      <c r="D232" s="23"/>
    </row>
    <row r="233" spans="1:4" ht="15" customHeight="1">
      <c r="A233" s="23" t="s">
        <v>190</v>
      </c>
      <c r="B233" s="23">
        <v>20192724</v>
      </c>
      <c r="C233" s="23" t="s">
        <v>7</v>
      </c>
      <c r="D233" s="23"/>
    </row>
    <row r="234" spans="1:4" ht="15" customHeight="1">
      <c r="A234" s="23" t="s">
        <v>191</v>
      </c>
      <c r="B234" s="23">
        <v>20192726</v>
      </c>
      <c r="C234" s="23" t="s">
        <v>7</v>
      </c>
      <c r="D234" s="23"/>
    </row>
    <row r="235" spans="1:4" ht="15" customHeight="1">
      <c r="A235" s="23" t="s">
        <v>192</v>
      </c>
      <c r="B235" s="23">
        <v>20192728</v>
      </c>
      <c r="C235" s="23" t="s">
        <v>7</v>
      </c>
      <c r="D235" s="23"/>
    </row>
    <row r="236" spans="1:4" ht="15" customHeight="1">
      <c r="A236" s="23" t="s">
        <v>193</v>
      </c>
      <c r="B236" s="23">
        <v>20192801</v>
      </c>
      <c r="C236" s="23" t="s">
        <v>7</v>
      </c>
      <c r="D236" s="23"/>
    </row>
    <row r="237" spans="1:4" ht="15" customHeight="1">
      <c r="A237" s="23" t="s">
        <v>194</v>
      </c>
      <c r="B237" s="23">
        <v>20192803</v>
      </c>
      <c r="C237" s="23" t="s">
        <v>7</v>
      </c>
      <c r="D237" s="23"/>
    </row>
    <row r="238" spans="1:4" ht="15" customHeight="1">
      <c r="A238" s="23" t="s">
        <v>195</v>
      </c>
      <c r="B238" s="23">
        <v>20192804</v>
      </c>
      <c r="C238" s="23" t="s">
        <v>7</v>
      </c>
      <c r="D238" s="23"/>
    </row>
    <row r="239" spans="1:4" ht="15" customHeight="1">
      <c r="A239" s="23" t="s">
        <v>196</v>
      </c>
      <c r="B239" s="23">
        <v>20192807</v>
      </c>
      <c r="C239" s="23" t="s">
        <v>7</v>
      </c>
      <c r="D239" s="23"/>
    </row>
    <row r="240" spans="1:4" ht="15" customHeight="1">
      <c r="A240" s="23" t="s">
        <v>197</v>
      </c>
      <c r="B240" s="23">
        <v>20192818</v>
      </c>
      <c r="C240" s="23" t="s">
        <v>7</v>
      </c>
      <c r="D240" s="23"/>
    </row>
    <row r="241" spans="1:4" ht="15" customHeight="1">
      <c r="A241" s="23" t="s">
        <v>198</v>
      </c>
      <c r="B241" s="23">
        <v>20192823</v>
      </c>
      <c r="C241" s="23" t="s">
        <v>7</v>
      </c>
      <c r="D241" s="23"/>
    </row>
    <row r="242" spans="1:4" ht="15" customHeight="1">
      <c r="A242" s="23" t="s">
        <v>199</v>
      </c>
      <c r="B242" s="23">
        <v>20192908</v>
      </c>
      <c r="C242" s="23" t="s">
        <v>6</v>
      </c>
      <c r="D242" s="23"/>
    </row>
    <row r="243" spans="1:4" ht="15" customHeight="1">
      <c r="A243" s="23" t="s">
        <v>200</v>
      </c>
      <c r="B243" s="23">
        <v>20192909</v>
      </c>
      <c r="C243" s="23" t="s">
        <v>6</v>
      </c>
      <c r="D243" s="23"/>
    </row>
    <row r="244" spans="1:4" ht="15" customHeight="1">
      <c r="A244" s="23" t="s">
        <v>201</v>
      </c>
      <c r="B244" s="23">
        <v>20192910</v>
      </c>
      <c r="C244" s="23" t="s">
        <v>6</v>
      </c>
      <c r="D244" s="23"/>
    </row>
    <row r="245" spans="1:4" ht="15" customHeight="1">
      <c r="A245" s="23" t="s">
        <v>202</v>
      </c>
      <c r="B245" s="23">
        <v>20192925</v>
      </c>
      <c r="C245" s="23" t="s">
        <v>6</v>
      </c>
      <c r="D245" s="23"/>
    </row>
    <row r="246" spans="1:4" ht="15" customHeight="1">
      <c r="A246" s="23" t="s">
        <v>203</v>
      </c>
      <c r="B246" s="23">
        <v>20192926</v>
      </c>
      <c r="C246" s="23" t="s">
        <v>6</v>
      </c>
      <c r="D246" s="23"/>
    </row>
    <row r="247" spans="1:4" ht="15" customHeight="1">
      <c r="A247" s="23" t="s">
        <v>204</v>
      </c>
      <c r="B247" s="23">
        <v>20192929</v>
      </c>
      <c r="C247" s="23" t="s">
        <v>6</v>
      </c>
      <c r="D247" s="23"/>
    </row>
    <row r="248" spans="1:4" ht="15" customHeight="1">
      <c r="A248" s="23" t="s">
        <v>205</v>
      </c>
      <c r="B248" s="23">
        <v>20192930</v>
      </c>
      <c r="C248" s="23" t="s">
        <v>6</v>
      </c>
      <c r="D248" s="23"/>
    </row>
    <row r="249" spans="1:4" ht="15" customHeight="1">
      <c r="A249" s="23" t="s">
        <v>206</v>
      </c>
      <c r="B249" s="23">
        <v>20193006</v>
      </c>
      <c r="C249" s="23" t="s">
        <v>6</v>
      </c>
      <c r="D249" s="23"/>
    </row>
    <row r="250" spans="1:4" ht="15" customHeight="1">
      <c r="A250" s="23" t="s">
        <v>207</v>
      </c>
      <c r="B250" s="23">
        <v>20193012</v>
      </c>
      <c r="C250" s="23" t="s">
        <v>6</v>
      </c>
      <c r="D250" s="23"/>
    </row>
    <row r="251" spans="1:4" ht="15" customHeight="1">
      <c r="A251" s="23" t="s">
        <v>208</v>
      </c>
      <c r="B251" s="23">
        <v>20193019</v>
      </c>
      <c r="C251" s="23" t="s">
        <v>6</v>
      </c>
      <c r="D251" s="23"/>
    </row>
    <row r="252" spans="1:4" ht="15" customHeight="1">
      <c r="A252" s="23" t="s">
        <v>209</v>
      </c>
      <c r="B252" s="23">
        <v>20192903</v>
      </c>
      <c r="C252" s="23" t="s">
        <v>6</v>
      </c>
      <c r="D252" s="23"/>
    </row>
    <row r="253" spans="1:4" ht="15" customHeight="1">
      <c r="A253" s="23" t="s">
        <v>210</v>
      </c>
      <c r="B253" s="23">
        <v>20192906</v>
      </c>
      <c r="C253" s="23" t="s">
        <v>6</v>
      </c>
      <c r="D253" s="23"/>
    </row>
    <row r="254" spans="1:4" ht="15" customHeight="1">
      <c r="A254" s="23" t="s">
        <v>211</v>
      </c>
      <c r="B254" s="23">
        <v>20192911</v>
      </c>
      <c r="C254" s="23" t="s">
        <v>6</v>
      </c>
      <c r="D254" s="23"/>
    </row>
    <row r="255" spans="1:4" ht="15" customHeight="1">
      <c r="A255" s="23" t="s">
        <v>212</v>
      </c>
      <c r="B255" s="23">
        <v>20192915</v>
      </c>
      <c r="C255" s="23" t="s">
        <v>6</v>
      </c>
      <c r="D255" s="23"/>
    </row>
    <row r="256" spans="1:4" ht="15" customHeight="1">
      <c r="A256" s="23" t="s">
        <v>213</v>
      </c>
      <c r="B256" s="23">
        <v>20192917</v>
      </c>
      <c r="C256" s="23" t="s">
        <v>6</v>
      </c>
      <c r="D256" s="23"/>
    </row>
    <row r="257" spans="1:4" ht="15" customHeight="1">
      <c r="A257" s="23" t="s">
        <v>214</v>
      </c>
      <c r="B257" s="23">
        <v>20192928</v>
      </c>
      <c r="C257" s="23" t="s">
        <v>6</v>
      </c>
      <c r="D257" s="23"/>
    </row>
    <row r="258" spans="1:4" ht="15" customHeight="1">
      <c r="A258" s="23" t="s">
        <v>215</v>
      </c>
      <c r="B258" s="23">
        <v>20193003</v>
      </c>
      <c r="C258" s="23" t="s">
        <v>6</v>
      </c>
      <c r="D258" s="23"/>
    </row>
    <row r="259" spans="1:4" ht="15" customHeight="1">
      <c r="A259" s="23" t="s">
        <v>216</v>
      </c>
      <c r="B259" s="23">
        <v>20193005</v>
      </c>
      <c r="C259" s="23" t="s">
        <v>6</v>
      </c>
      <c r="D259" s="23"/>
    </row>
    <row r="260" spans="1:4" ht="15" customHeight="1">
      <c r="A260" s="23" t="s">
        <v>217</v>
      </c>
      <c r="B260" s="23">
        <v>20193009</v>
      </c>
      <c r="C260" s="23" t="s">
        <v>6</v>
      </c>
      <c r="D260" s="23"/>
    </row>
    <row r="261" spans="1:4" ht="15" customHeight="1">
      <c r="A261" s="23" t="s">
        <v>218</v>
      </c>
      <c r="B261" s="23">
        <v>20193017</v>
      </c>
      <c r="C261" s="23" t="s">
        <v>6</v>
      </c>
      <c r="D261" s="23"/>
    </row>
    <row r="262" spans="1:4" ht="15" customHeight="1">
      <c r="A262" s="23" t="s">
        <v>219</v>
      </c>
      <c r="B262" s="23">
        <v>20193028</v>
      </c>
      <c r="C262" s="23" t="s">
        <v>5</v>
      </c>
      <c r="D262" s="23"/>
    </row>
    <row r="263" spans="1:4" ht="15" customHeight="1">
      <c r="A263" s="23" t="s">
        <v>220</v>
      </c>
      <c r="B263" s="23">
        <v>20193021</v>
      </c>
      <c r="C263" s="23" t="s">
        <v>5</v>
      </c>
      <c r="D263" s="23"/>
    </row>
    <row r="264" spans="1:4" ht="15" customHeight="1">
      <c r="A264" s="23" t="s">
        <v>221</v>
      </c>
      <c r="B264" s="23">
        <v>20193023</v>
      </c>
      <c r="C264" s="23" t="s">
        <v>5</v>
      </c>
      <c r="D264" s="23"/>
    </row>
    <row r="265" spans="1:4" ht="15" customHeight="1">
      <c r="A265" s="23" t="s">
        <v>222</v>
      </c>
      <c r="B265" s="23">
        <v>20193103</v>
      </c>
      <c r="C265" s="23" t="s">
        <v>4</v>
      </c>
      <c r="D265" s="23"/>
    </row>
    <row r="266" spans="1:4" ht="15" customHeight="1">
      <c r="A266" s="23" t="s">
        <v>223</v>
      </c>
      <c r="B266" s="23">
        <v>20193104</v>
      </c>
      <c r="C266" s="23" t="s">
        <v>4</v>
      </c>
      <c r="D266" s="23"/>
    </row>
    <row r="267" spans="1:4" ht="15" customHeight="1">
      <c r="A267" s="23" t="s">
        <v>224</v>
      </c>
      <c r="B267" s="23">
        <v>20193106</v>
      </c>
      <c r="C267" s="23" t="s">
        <v>4</v>
      </c>
      <c r="D267" s="23"/>
    </row>
    <row r="268" spans="1:4" ht="15" customHeight="1">
      <c r="A268" s="23" t="s">
        <v>225</v>
      </c>
      <c r="B268" s="23">
        <v>20193107</v>
      </c>
      <c r="C268" s="23" t="s">
        <v>4</v>
      </c>
      <c r="D268" s="23"/>
    </row>
    <row r="269" spans="1:4" ht="15" customHeight="1">
      <c r="A269" s="23" t="s">
        <v>226</v>
      </c>
      <c r="B269" s="23">
        <v>20193108</v>
      </c>
      <c r="C269" s="23" t="s">
        <v>4</v>
      </c>
      <c r="D269" s="23"/>
    </row>
    <row r="270" spans="1:4" ht="15" customHeight="1">
      <c r="A270" s="23" t="s">
        <v>227</v>
      </c>
      <c r="B270" s="23">
        <v>20193111</v>
      </c>
      <c r="C270" s="23" t="s">
        <v>4</v>
      </c>
      <c r="D270" s="23"/>
    </row>
    <row r="271" spans="1:4" ht="15" customHeight="1">
      <c r="A271" s="23" t="s">
        <v>228</v>
      </c>
      <c r="B271" s="23">
        <v>20193113</v>
      </c>
      <c r="C271" s="23" t="s">
        <v>4</v>
      </c>
      <c r="D271" s="23"/>
    </row>
    <row r="272" spans="1:4" ht="15" customHeight="1">
      <c r="A272" s="23" t="s">
        <v>229</v>
      </c>
      <c r="B272" s="23">
        <v>20193116</v>
      </c>
      <c r="C272" s="23" t="s">
        <v>4</v>
      </c>
      <c r="D272" s="23"/>
    </row>
    <row r="273" spans="1:4" ht="15" customHeight="1">
      <c r="A273" s="23" t="s">
        <v>230</v>
      </c>
      <c r="B273" s="23">
        <v>20193123</v>
      </c>
      <c r="C273" s="23" t="s">
        <v>4</v>
      </c>
      <c r="D273" s="23"/>
    </row>
    <row r="274" spans="1:4" ht="15" customHeight="1">
      <c r="A274" s="23" t="s">
        <v>231</v>
      </c>
      <c r="B274" s="23">
        <v>20193126</v>
      </c>
      <c r="C274" s="23" t="s">
        <v>4</v>
      </c>
      <c r="D274" s="23"/>
    </row>
    <row r="275" spans="1:4" ht="15" customHeight="1">
      <c r="A275" s="23" t="s">
        <v>232</v>
      </c>
      <c r="B275" s="23">
        <v>20193202</v>
      </c>
      <c r="C275" s="23" t="s">
        <v>4</v>
      </c>
      <c r="D275" s="23"/>
    </row>
    <row r="276" spans="1:4" ht="15" customHeight="1">
      <c r="A276" s="23" t="s">
        <v>233</v>
      </c>
      <c r="B276" s="23">
        <v>20193203</v>
      </c>
      <c r="C276" s="23" t="s">
        <v>4</v>
      </c>
      <c r="D276" s="23"/>
    </row>
    <row r="277" spans="1:4" ht="15" customHeight="1">
      <c r="A277" s="23" t="s">
        <v>234</v>
      </c>
      <c r="B277" s="23">
        <v>20193205</v>
      </c>
      <c r="C277" s="23" t="s">
        <v>4</v>
      </c>
      <c r="D277" s="23"/>
    </row>
    <row r="278" spans="1:4" ht="15" customHeight="1">
      <c r="A278" s="23" t="s">
        <v>235</v>
      </c>
      <c r="B278" s="23">
        <v>20193206</v>
      </c>
      <c r="C278" s="23" t="s">
        <v>4</v>
      </c>
      <c r="D278" s="23"/>
    </row>
    <row r="279" spans="1:4" ht="15" customHeight="1">
      <c r="A279" s="23" t="s">
        <v>236</v>
      </c>
      <c r="B279" s="23">
        <v>20193210</v>
      </c>
      <c r="C279" s="23" t="s">
        <v>4</v>
      </c>
      <c r="D279" s="23"/>
    </row>
    <row r="280" spans="1:4" ht="15" customHeight="1">
      <c r="A280" s="23" t="s">
        <v>237</v>
      </c>
      <c r="B280" s="23">
        <v>20193222</v>
      </c>
      <c r="C280" s="23" t="s">
        <v>2</v>
      </c>
      <c r="D280" s="23"/>
    </row>
    <row r="281" spans="1:4" ht="15" customHeight="1">
      <c r="A281" s="23" t="s">
        <v>238</v>
      </c>
      <c r="B281" s="23">
        <v>20193227</v>
      </c>
      <c r="C281" s="23" t="s">
        <v>2</v>
      </c>
      <c r="D281" s="23"/>
    </row>
    <row r="282" spans="1:4" ht="15" customHeight="1">
      <c r="A282" s="23" t="s">
        <v>239</v>
      </c>
      <c r="B282" s="23">
        <v>20193228</v>
      </c>
      <c r="C282" s="23" t="s">
        <v>2</v>
      </c>
      <c r="D282" s="23"/>
    </row>
    <row r="283" spans="1:4" ht="15" customHeight="1">
      <c r="A283" s="23" t="s">
        <v>240</v>
      </c>
      <c r="B283" s="23">
        <v>20193308</v>
      </c>
      <c r="C283" s="23" t="s">
        <v>2</v>
      </c>
      <c r="D283" s="23"/>
    </row>
    <row r="284" spans="1:4" ht="15" customHeight="1">
      <c r="A284" s="23" t="s">
        <v>241</v>
      </c>
      <c r="B284" s="23">
        <v>20193310</v>
      </c>
      <c r="C284" s="23" t="s">
        <v>2</v>
      </c>
      <c r="D284" s="23"/>
    </row>
    <row r="285" spans="1:4" ht="15" customHeight="1">
      <c r="A285" s="23" t="s">
        <v>242</v>
      </c>
      <c r="B285" s="23">
        <v>20193312</v>
      </c>
      <c r="C285" s="23" t="s">
        <v>2</v>
      </c>
      <c r="D285" s="23"/>
    </row>
    <row r="286" spans="1:4" ht="15" customHeight="1">
      <c r="A286" s="23" t="s">
        <v>243</v>
      </c>
      <c r="B286" s="23">
        <v>20193315</v>
      </c>
      <c r="C286" s="23" t="s">
        <v>2</v>
      </c>
      <c r="D286" s="23"/>
    </row>
    <row r="287" spans="1:4" ht="15" customHeight="1">
      <c r="A287" s="23" t="s">
        <v>244</v>
      </c>
      <c r="B287" s="23">
        <v>20193223</v>
      </c>
      <c r="C287" s="23" t="s">
        <v>2</v>
      </c>
      <c r="D287" s="23"/>
    </row>
    <row r="288" spans="1:4" ht="15" customHeight="1">
      <c r="A288" s="23" t="s">
        <v>245</v>
      </c>
      <c r="B288" s="23">
        <v>20193226</v>
      </c>
      <c r="C288" s="23" t="s">
        <v>2</v>
      </c>
      <c r="D288" s="23"/>
    </row>
    <row r="289" spans="1:4" ht="15" customHeight="1">
      <c r="A289" s="23" t="s">
        <v>246</v>
      </c>
      <c r="B289" s="23">
        <v>20193230</v>
      </c>
      <c r="C289" s="23" t="s">
        <v>2</v>
      </c>
      <c r="D289" s="23"/>
    </row>
    <row r="290" spans="1:4" ht="15" customHeight="1">
      <c r="A290" s="23" t="s">
        <v>247</v>
      </c>
      <c r="B290" s="23">
        <v>20193303</v>
      </c>
      <c r="C290" s="23" t="s">
        <v>2</v>
      </c>
      <c r="D290" s="23"/>
    </row>
    <row r="291" spans="1:4" ht="15" customHeight="1">
      <c r="A291" s="23" t="s">
        <v>248</v>
      </c>
      <c r="B291" s="23">
        <v>20193304</v>
      </c>
      <c r="C291" s="23" t="s">
        <v>2</v>
      </c>
      <c r="D291" s="23"/>
    </row>
    <row r="292" spans="1:4" ht="15" customHeight="1">
      <c r="A292" s="23" t="s">
        <v>249</v>
      </c>
      <c r="B292" s="23">
        <v>20193313</v>
      </c>
      <c r="C292" s="23" t="s">
        <v>2</v>
      </c>
      <c r="D292" s="23"/>
    </row>
    <row r="293" spans="1:4" ht="15" customHeight="1">
      <c r="A293" s="23" t="s">
        <v>250</v>
      </c>
      <c r="B293" s="23">
        <v>20193314</v>
      </c>
      <c r="C293" s="23" t="s">
        <v>2</v>
      </c>
      <c r="D293" s="23"/>
    </row>
    <row r="294" spans="1:4" ht="15" customHeight="1">
      <c r="A294" s="23" t="s">
        <v>251</v>
      </c>
      <c r="B294" s="23">
        <v>20193323</v>
      </c>
      <c r="C294" s="23" t="s">
        <v>1</v>
      </c>
      <c r="D294" s="23"/>
    </row>
    <row r="295" spans="1:4" ht="15" customHeight="1">
      <c r="A295" s="23" t="s">
        <v>252</v>
      </c>
      <c r="B295" s="23">
        <v>20193325</v>
      </c>
      <c r="C295" s="23" t="s">
        <v>1</v>
      </c>
      <c r="D295" s="23"/>
    </row>
    <row r="296" spans="1:4" ht="15" customHeight="1">
      <c r="A296" s="23" t="s">
        <v>253</v>
      </c>
      <c r="B296" s="23">
        <v>20193326</v>
      </c>
      <c r="C296" s="23" t="s">
        <v>1</v>
      </c>
      <c r="D296" s="23"/>
    </row>
  </sheetData>
  <autoFilter ref="A3:D174">
    <sortState ref="A3:J179">
      <sortCondition ref="B2:B173"/>
    </sortState>
  </autoFilter>
  <mergeCells count="1">
    <mergeCell ref="A2:D2"/>
  </mergeCells>
  <phoneticPr fontId="1" type="noConversion"/>
  <printOptions horizontalCentered="1"/>
  <pageMargins left="7.874015748031496E-2" right="7.874015748031496E-2" top="0.19685039370078741" bottom="0.27559055118110237" header="0.15748031496062992" footer="0.15748031496062992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排名</vt:lpstr>
      <vt:lpstr>教育 (体检)  </vt:lpstr>
      <vt:lpstr>'教育 (体检)  '!Print_Area</vt:lpstr>
      <vt:lpstr>'教育 (体检)  '!Print_Titles</vt:lpstr>
      <vt:lpstr>排名!Print_Titles</vt:lpstr>
    </vt:vector>
  </TitlesOfParts>
  <Company>Far123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2019-08-29T07:19:57Z</cp:lastPrinted>
  <dcterms:created xsi:type="dcterms:W3CDTF">2019-07-19T09:53:30Z</dcterms:created>
  <dcterms:modified xsi:type="dcterms:W3CDTF">2019-08-29T07:57:08Z</dcterms:modified>
</cp:coreProperties>
</file>